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80" windowWidth="19440" windowHeight="12240" activeTab="0"/>
  </bookViews>
  <sheets>
    <sheet name="Figure 5.21" sheetId="1" r:id="rId1"/>
    <sheet name="Rayleigh calculations generic" sheetId="2" r:id="rId2"/>
    <sheet name="Figure 14 Frisia et al 2011" sheetId="3" r:id="rId3"/>
    <sheet name="data for chart" sheetId="4" r:id="rId4"/>
    <sheet name="Rayleigh calculations Ernesto" sheetId="5" r:id="rId5"/>
  </sheets>
  <externalReferences>
    <externalReference r:id="rId8"/>
    <externalReference r:id="rId9"/>
  </externalReferences>
  <definedNames>
    <definedName name="fred" localSheetId="3">'data for chart'!#REF!</definedName>
    <definedName name="fred">'[1]DulRoz1990'!#REF!</definedName>
    <definedName name="RECORDER">'[2]Macro1'!$B:$B</definedName>
  </definedNames>
  <calcPr fullCalcOnLoad="1"/>
</workbook>
</file>

<file path=xl/comments2.xml><?xml version="1.0" encoding="utf-8"?>
<comments xmlns="http://schemas.openxmlformats.org/spreadsheetml/2006/main">
  <authors>
    <author>Fairchild</author>
  </authors>
  <commentList>
    <comment ref="A5" authorId="0">
      <text>
        <r>
          <rPr>
            <b/>
            <sz val="8"/>
            <rFont val="Tahoma"/>
            <family val="2"/>
          </rPr>
          <t>Fairchild:</t>
        </r>
        <r>
          <rPr>
            <sz val="8"/>
            <rFont val="Tahoma"/>
            <family val="2"/>
          </rPr>
          <t xml:space="preserve">
Zhang et al 1995 (5-25 degrees)
</t>
        </r>
      </text>
    </comment>
    <comment ref="A6" authorId="0">
      <text>
        <r>
          <rPr>
            <b/>
            <sz val="8"/>
            <rFont val="Tahoma"/>
            <family val="2"/>
          </rPr>
          <t>Fairchild:</t>
        </r>
        <r>
          <rPr>
            <sz val="8"/>
            <rFont val="Tahoma"/>
            <family val="2"/>
          </rPr>
          <t xml:space="preserve">
Szaran, 1997</t>
        </r>
      </text>
    </comment>
    <comment ref="A9" authorId="0">
      <text>
        <r>
          <rPr>
            <b/>
            <sz val="8"/>
            <rFont val="Tahoma"/>
            <family val="2"/>
          </rPr>
          <t xml:space="preserve">Fairchild:
Zhang et al 1995
5-25 degrees
</t>
        </r>
      </text>
    </comment>
    <comment ref="A11" authorId="0">
      <text>
        <r>
          <rPr>
            <b/>
            <sz val="8"/>
            <rFont val="Tahoma"/>
            <family val="2"/>
          </rPr>
          <t>Fairchild:</t>
        </r>
        <r>
          <rPr>
            <sz val="8"/>
            <rFont val="Tahoma"/>
            <family val="2"/>
          </rPr>
          <t xml:space="preserve">
Jimenez-Lopez et al GCA 2002 at 25 degrees</t>
        </r>
      </text>
    </comment>
  </commentList>
</comments>
</file>

<file path=xl/comments5.xml><?xml version="1.0" encoding="utf-8"?>
<comments xmlns="http://schemas.openxmlformats.org/spreadsheetml/2006/main">
  <authors>
    <author>Fairchild</author>
  </authors>
  <commentList>
    <comment ref="A5" authorId="0">
      <text>
        <r>
          <rPr>
            <b/>
            <sz val="8"/>
            <rFont val="Tahoma"/>
            <family val="2"/>
          </rPr>
          <t>Fairchild:</t>
        </r>
        <r>
          <rPr>
            <sz val="8"/>
            <rFont val="Tahoma"/>
            <family val="2"/>
          </rPr>
          <t xml:space="preserve">
Zhang et al 1995 (5-25 degrees)
</t>
        </r>
      </text>
    </comment>
    <comment ref="A6" authorId="0">
      <text>
        <r>
          <rPr>
            <b/>
            <sz val="8"/>
            <rFont val="Tahoma"/>
            <family val="2"/>
          </rPr>
          <t>Fairchild:</t>
        </r>
        <r>
          <rPr>
            <sz val="8"/>
            <rFont val="Tahoma"/>
            <family val="2"/>
          </rPr>
          <t xml:space="preserve">
Szaran, 1997</t>
        </r>
      </text>
    </comment>
    <comment ref="A9" authorId="0">
      <text>
        <r>
          <rPr>
            <b/>
            <sz val="8"/>
            <rFont val="Tahoma"/>
            <family val="2"/>
          </rPr>
          <t xml:space="preserve">Fairchild:
Zhang et al 1995
5-25 degrees
</t>
        </r>
      </text>
    </comment>
    <comment ref="A11" authorId="0">
      <text>
        <r>
          <rPr>
            <b/>
            <sz val="8"/>
            <rFont val="Tahoma"/>
            <family val="2"/>
          </rPr>
          <t>Fairchild:</t>
        </r>
        <r>
          <rPr>
            <sz val="8"/>
            <rFont val="Tahoma"/>
            <family val="2"/>
          </rPr>
          <t xml:space="preserve">
Jimenez-Lopez et al GCA 2002 at 25 degrees</t>
        </r>
      </text>
    </comment>
  </commentList>
</comments>
</file>

<file path=xl/sharedStrings.xml><?xml version="1.0" encoding="utf-8"?>
<sst xmlns="http://schemas.openxmlformats.org/spreadsheetml/2006/main" count="343" uniqueCount="160">
  <si>
    <t>d13C</t>
  </si>
  <si>
    <t>Romanek et al (1992, GCA)</t>
  </si>
  <si>
    <t>Eta CaCO3-CO2</t>
  </si>
  <si>
    <t>=11.98-0.12*T</t>
  </si>
  <si>
    <t>At 5 degrees:</t>
  </si>
  <si>
    <t>T</t>
  </si>
  <si>
    <t>Eta CO2gas-CO2-aq</t>
  </si>
  <si>
    <t>=-0.0049*T-1.31</t>
  </si>
  <si>
    <t>Eta CO2aq-HCO3</t>
  </si>
  <si>
    <t>=0.0954*T+10.41</t>
  </si>
  <si>
    <t>SUM</t>
  </si>
  <si>
    <t>Eta CO2gas-HCO3</t>
  </si>
  <si>
    <t>=-0.41*T+10.78</t>
  </si>
  <si>
    <t>Eta HCO3-CaCO3</t>
  </si>
  <si>
    <t>Sum1</t>
  </si>
  <si>
    <t>Sum2</t>
  </si>
  <si>
    <t>Rayleigh Fractionation expression:</t>
  </si>
  <si>
    <t>log(1+d13Ct/1000)=log(1+d13Co/1000)+(alpha-1)logF</t>
  </si>
  <si>
    <t>F = fraction of carbon remaining in the system</t>
  </si>
  <si>
    <t>Ca</t>
  </si>
  <si>
    <t>Predicted overall fractionation:</t>
  </si>
  <si>
    <t>1000lnalpha(CO2-HCO3)</t>
  </si>
  <si>
    <t>1000lnalpha(CaCO3-HCO3)</t>
  </si>
  <si>
    <t>Overall alpha</t>
  </si>
  <si>
    <t>-logPCO2</t>
  </si>
  <si>
    <t>d13Co</t>
  </si>
  <si>
    <t>Fractionation factors for carbonate isotopes (Muhlinghaus et al 2008 manuscript</t>
  </si>
  <si>
    <t>(Kelvin)</t>
  </si>
  <si>
    <t>Celsius</t>
  </si>
  <si>
    <t>C isotopes</t>
  </si>
  <si>
    <t>Mook, W., Bommerson, J., Staverman, W., 1974. Carbon isotope fractiona</t>
  </si>
  <si>
    <t>tion between dissolved bicarbonate and gaseous carbon dioxide. Earth and</t>
  </si>
  <si>
    <t>Planetary Science Letters 22, 169 _x0015_ 176.</t>
  </si>
  <si>
    <t>O isotopes</t>
  </si>
  <si>
    <t>HCO3- --&gt; CO2 Bottinga 1968</t>
  </si>
  <si>
    <t>Mook, W., de Vriess, J., 2000. Environmental Isotopes in the Hydrological</t>
  </si>
  <si>
    <t>HCO3- --&gt; CaCO3</t>
  </si>
  <si>
    <t>Cycle. Principles and Applications. IAEA, Ch. Volume 1: Introduction -</t>
  </si>
  <si>
    <t>HCO3 --&gt; H2O Usdowski Hoefs 1993</t>
  </si>
  <si>
    <t>Theory, Methods, Review.</t>
  </si>
  <si>
    <t>H2O --&gt; CaCO3 Kim O'Neil 1997</t>
  </si>
  <si>
    <t>Thermodynamic data</t>
  </si>
  <si>
    <t>Nordstrom et a. (1990), said</t>
  </si>
  <si>
    <t>to be consistent with phreeqe (1990)</t>
  </si>
  <si>
    <t>phreeqm (1994) and wateq4f (Ball &amp; Nordstrom)</t>
  </si>
  <si>
    <t>logKcc = -171.9065-0.077993T+2839.19/T+71.595logT</t>
  </si>
  <si>
    <t xml:space="preserve">Mix documentation: </t>
  </si>
  <si>
    <t>logKcc=13.870-0.04035T-3059/T</t>
  </si>
  <si>
    <t>T C</t>
  </si>
  <si>
    <t>T deg K</t>
  </si>
  <si>
    <t>Kcc</t>
  </si>
  <si>
    <t>Difference: add to MIX output</t>
  </si>
  <si>
    <t>ppco2</t>
  </si>
  <si>
    <t>PCO2 atm</t>
  </si>
  <si>
    <t>PCO2 ppm</t>
  </si>
  <si>
    <t>Modelling degassing</t>
  </si>
  <si>
    <t>6point5a</t>
  </si>
  <si>
    <t>MIX4 starting solution</t>
  </si>
  <si>
    <t>6point5b</t>
  </si>
  <si>
    <t>Datafile</t>
  </si>
  <si>
    <t>CTOT</t>
  </si>
  <si>
    <t xml:space="preserve">step </t>
  </si>
  <si>
    <t>6point5c</t>
  </si>
  <si>
    <t>6point5d</t>
  </si>
  <si>
    <t>6point5e</t>
  </si>
  <si>
    <t>6point5f</t>
  </si>
  <si>
    <t>(SICC set at -8.4)</t>
  </si>
  <si>
    <t>(SICC set at -8.41)</t>
  </si>
  <si>
    <t>10degrees</t>
  </si>
  <si>
    <t>14degrees</t>
  </si>
  <si>
    <t>(SICC set at -8.426)</t>
  </si>
  <si>
    <t>eta for HCO3 to CO2</t>
  </si>
  <si>
    <t>Expected initial d13CH2O (based on Ernesto)</t>
  </si>
  <si>
    <t>y = 3.125x - 21.824</t>
  </si>
  <si>
    <t>Adjust for temp effects on eta</t>
  </si>
  <si>
    <t>CTOT at -logpCO2 of:</t>
  </si>
  <si>
    <t>F values at these PCO2</t>
  </si>
  <si>
    <t>6.5 degrees</t>
  </si>
  <si>
    <t>F</t>
  </si>
  <si>
    <t>6.5 degrees, kinetically enhanced</t>
  </si>
  <si>
    <t>After equilbrium degassing to 500 ppm CO2</t>
  </si>
  <si>
    <t>After kinetically enhanced degassing to 500 ppm CO2</t>
  </si>
  <si>
    <t>Initial ppm CO2</t>
  </si>
  <si>
    <t>PCO2, ppm</t>
  </si>
  <si>
    <t>Initial -log PCO2</t>
  </si>
  <si>
    <t>Initial PCO2 ppm</t>
  </si>
  <si>
    <t>logpCO2</t>
  </si>
  <si>
    <t>Kinetic factor:</t>
  </si>
  <si>
    <t>HCO3- --&gt; CaCO3  Mook/de Vriess 2000</t>
  </si>
  <si>
    <t>After kinetically enhanced degassing to 1200 ppm CO2</t>
  </si>
  <si>
    <t>winter degassed</t>
  </si>
  <si>
    <t>summer degassed</t>
  </si>
  <si>
    <t>epikarst</t>
  </si>
  <si>
    <t>HCO3--&gt; CO2 (Mook et al 1974)</t>
  </si>
  <si>
    <t>Ernesto speleothem ER76</t>
  </si>
  <si>
    <t>ER77</t>
  </si>
  <si>
    <t>Starting point</t>
  </si>
  <si>
    <t>measured composition</t>
  </si>
  <si>
    <t>Stalagmite composition</t>
  </si>
  <si>
    <t>% of change attributable to kinetic degassing</t>
  </si>
  <si>
    <t>% of change attributable to exchange equili bration</t>
  </si>
  <si>
    <t>Theoretical end-point of equilibration</t>
  </si>
  <si>
    <t>% of theoretical exchange that has occurred</t>
  </si>
  <si>
    <t>G1</t>
  </si>
  <si>
    <t>ER76</t>
  </si>
  <si>
    <t>-logPCO2-air</t>
  </si>
  <si>
    <t>PCO2-air</t>
  </si>
  <si>
    <t>d13C-DIC</t>
  </si>
  <si>
    <t>CTOT ppm</t>
  </si>
  <si>
    <t>166-206</t>
  </si>
  <si>
    <t>1.5 m depth</t>
  </si>
  <si>
    <t>Mean soil d13C of DIC (mean of two lysimeters) and PCO2 of air</t>
  </si>
  <si>
    <t>Source to G1</t>
  </si>
  <si>
    <t>Modelled source dripwater at calcite saturation</t>
  </si>
  <si>
    <t>Source to ER76</t>
  </si>
  <si>
    <t>Source to ER77</t>
  </si>
  <si>
    <t>G1-Mungitrice</t>
  </si>
  <si>
    <t>Mean dripwater</t>
  </si>
  <si>
    <t>All PCO2 values below are mean cave air in winter</t>
  </si>
  <si>
    <t>Modelled dripwater degassed to lowest cave air PCO2</t>
  </si>
  <si>
    <t>Mean speleothem (approx = dripwater from which it formed)</t>
  </si>
  <si>
    <t>ER78</t>
  </si>
  <si>
    <t>PCO2</t>
  </si>
  <si>
    <t>dripwater</t>
  </si>
  <si>
    <t>Water equilibrated with it</t>
  </si>
  <si>
    <t>Cave air in winter</t>
  </si>
  <si>
    <t>to PCO2 -3.3</t>
  </si>
  <si>
    <t>initial water</t>
  </si>
  <si>
    <t>Composition after continued degassing to PCO2 =10^-3.3</t>
  </si>
  <si>
    <t>d13Ct</t>
  </si>
  <si>
    <t>d13Cremoved(t)</t>
  </si>
  <si>
    <t>d13Cremoved (cumulative)</t>
  </si>
  <si>
    <t>Degassing?</t>
  </si>
  <si>
    <t>CaCO3 precipitation?</t>
  </si>
  <si>
    <t>Y</t>
  </si>
  <si>
    <t>N</t>
  </si>
  <si>
    <t>Bespoke alpha</t>
  </si>
  <si>
    <t>Overall eta</t>
  </si>
  <si>
    <r>
      <t xml:space="preserve">Temperature </t>
    </r>
    <r>
      <rPr>
        <sz val="10"/>
        <rFont val="Arial"/>
        <family val="2"/>
      </rPr>
      <t>°</t>
    </r>
    <r>
      <rPr>
        <sz val="10"/>
        <rFont val="Arial"/>
        <family val="2"/>
      </rPr>
      <t xml:space="preserve"> C</t>
    </r>
  </si>
  <si>
    <r>
      <t>e</t>
    </r>
    <r>
      <rPr>
        <vertAlign val="superscript"/>
        <sz val="14"/>
        <rFont val="Arial"/>
        <family val="2"/>
      </rPr>
      <t>13</t>
    </r>
    <r>
      <rPr>
        <vertAlign val="subscript"/>
        <sz val="14"/>
        <rFont val="Arial"/>
        <family val="2"/>
      </rPr>
      <t>1</t>
    </r>
  </si>
  <si>
    <r>
      <t>e</t>
    </r>
    <r>
      <rPr>
        <vertAlign val="superscript"/>
        <sz val="14"/>
        <rFont val="Arial"/>
        <family val="2"/>
      </rPr>
      <t>13</t>
    </r>
    <r>
      <rPr>
        <vertAlign val="subscript"/>
        <sz val="14"/>
        <rFont val="Arial"/>
        <family val="2"/>
      </rPr>
      <t>2</t>
    </r>
  </si>
  <si>
    <r>
      <t>e</t>
    </r>
    <r>
      <rPr>
        <vertAlign val="superscript"/>
        <sz val="14"/>
        <rFont val="Arial"/>
        <family val="2"/>
      </rPr>
      <t>18</t>
    </r>
    <r>
      <rPr>
        <vertAlign val="subscript"/>
        <sz val="14"/>
        <rFont val="Arial"/>
        <family val="2"/>
      </rPr>
      <t>1</t>
    </r>
  </si>
  <si>
    <r>
      <t>e</t>
    </r>
    <r>
      <rPr>
        <vertAlign val="superscript"/>
        <sz val="14"/>
        <rFont val="Arial"/>
        <family val="2"/>
      </rPr>
      <t>18</t>
    </r>
    <r>
      <rPr>
        <vertAlign val="subscript"/>
        <sz val="14"/>
        <rFont val="Arial"/>
        <family val="2"/>
      </rPr>
      <t>2</t>
    </r>
  </si>
  <si>
    <r>
      <t>e</t>
    </r>
    <r>
      <rPr>
        <vertAlign val="superscript"/>
        <sz val="14"/>
        <rFont val="Arial"/>
        <family val="2"/>
      </rPr>
      <t>18</t>
    </r>
    <r>
      <rPr>
        <vertAlign val="subscript"/>
        <sz val="14"/>
        <rFont val="Arial"/>
        <family val="2"/>
      </rPr>
      <t>3</t>
    </r>
  </si>
  <si>
    <r>
      <t>e</t>
    </r>
    <r>
      <rPr>
        <vertAlign val="superscript"/>
        <sz val="14"/>
        <rFont val="Arial"/>
        <family val="2"/>
      </rPr>
      <t>18</t>
    </r>
    <r>
      <rPr>
        <vertAlign val="subscript"/>
        <sz val="14"/>
        <rFont val="Arial"/>
        <family val="2"/>
      </rPr>
      <t>4</t>
    </r>
  </si>
  <si>
    <r>
      <t>e</t>
    </r>
    <r>
      <rPr>
        <vertAlign val="superscript"/>
        <sz val="12"/>
        <rFont val="Arial"/>
        <family val="2"/>
      </rPr>
      <t>13</t>
    </r>
    <r>
      <rPr>
        <vertAlign val="subscript"/>
        <sz val="12"/>
        <rFont val="Arial"/>
        <family val="2"/>
      </rPr>
      <t>1</t>
    </r>
  </si>
  <si>
    <r>
      <t>e</t>
    </r>
    <r>
      <rPr>
        <vertAlign val="superscript"/>
        <sz val="12"/>
        <rFont val="Arial"/>
        <family val="2"/>
      </rPr>
      <t>13</t>
    </r>
    <r>
      <rPr>
        <vertAlign val="subscript"/>
        <sz val="12"/>
        <rFont val="Arial"/>
        <family val="2"/>
      </rPr>
      <t>2</t>
    </r>
  </si>
  <si>
    <r>
      <t>e</t>
    </r>
    <r>
      <rPr>
        <vertAlign val="superscript"/>
        <sz val="12"/>
        <rFont val="Arial"/>
        <family val="2"/>
      </rPr>
      <t>18</t>
    </r>
    <r>
      <rPr>
        <vertAlign val="subscript"/>
        <sz val="12"/>
        <rFont val="Arial"/>
        <family val="2"/>
      </rPr>
      <t>1</t>
    </r>
  </si>
  <si>
    <r>
      <t>e</t>
    </r>
    <r>
      <rPr>
        <vertAlign val="superscript"/>
        <sz val="12"/>
        <rFont val="Arial"/>
        <family val="2"/>
      </rPr>
      <t>18</t>
    </r>
    <r>
      <rPr>
        <vertAlign val="subscript"/>
        <sz val="12"/>
        <rFont val="Arial"/>
        <family val="2"/>
      </rPr>
      <t>2</t>
    </r>
  </si>
  <si>
    <r>
      <t>e</t>
    </r>
    <r>
      <rPr>
        <vertAlign val="superscript"/>
        <sz val="12"/>
        <rFont val="Arial"/>
        <family val="2"/>
      </rPr>
      <t>18</t>
    </r>
    <r>
      <rPr>
        <vertAlign val="subscript"/>
        <sz val="12"/>
        <rFont val="Arial"/>
        <family val="2"/>
      </rPr>
      <t>3</t>
    </r>
  </si>
  <si>
    <r>
      <t>e</t>
    </r>
    <r>
      <rPr>
        <vertAlign val="superscript"/>
        <sz val="12"/>
        <rFont val="Arial"/>
        <family val="2"/>
      </rPr>
      <t>18</t>
    </r>
    <r>
      <rPr>
        <vertAlign val="subscript"/>
        <sz val="12"/>
        <rFont val="Arial"/>
        <family val="2"/>
      </rPr>
      <t>4</t>
    </r>
  </si>
  <si>
    <t>Kinetic degassing</t>
  </si>
  <si>
    <t>Bespoke eta</t>
  </si>
  <si>
    <t>DIC</t>
  </si>
  <si>
    <t>SITE</t>
  </si>
  <si>
    <t>Mean composition of CO2 removed</t>
  </si>
  <si>
    <t>Eta</t>
  </si>
  <si>
    <t>n</t>
  </si>
  <si>
    <t>Equilibrium eta used</t>
  </si>
  <si>
    <t>soil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</si>
</sst>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0.000"/>
    <numFmt numFmtId="172" formatCode="_-[$€-2]\ * #,##0.00_-;\-[$€-2]\ * #,##0.00_-;_-[$€-2]\ * &quot;-&quot;??_-"/>
    <numFmt numFmtId="173" formatCode="&quot;$&quot;#,##0.00"/>
    <numFmt numFmtId="174" formatCode="0.00000"/>
    <numFmt numFmtId="175" formatCode="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sz val="14"/>
      <name val="Symbol"/>
      <family val="1"/>
    </font>
    <font>
      <vertAlign val="superscript"/>
      <sz val="14"/>
      <name val="Arial"/>
      <family val="2"/>
    </font>
    <font>
      <vertAlign val="subscript"/>
      <sz val="14"/>
      <name val="Arial"/>
      <family val="2"/>
    </font>
    <font>
      <sz val="12"/>
      <name val="Symbol"/>
      <family val="1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sz val="12"/>
      <color indexed="8"/>
      <name val="Calibri"/>
      <family val="2"/>
    </font>
    <font>
      <sz val="1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vertAlign val="subscript"/>
      <sz val="14"/>
      <color indexed="8"/>
      <name val="Arial"/>
      <family val="0"/>
    </font>
    <font>
      <sz val="16"/>
      <color indexed="8"/>
      <name val="Symbol"/>
      <family val="0"/>
    </font>
    <font>
      <vertAlign val="superscript"/>
      <sz val="16"/>
      <color indexed="8"/>
      <name val="Arial"/>
      <family val="0"/>
    </font>
    <font>
      <i/>
      <sz val="13"/>
      <color indexed="8"/>
      <name val="Arial"/>
      <family val="0"/>
    </font>
    <font>
      <sz val="13"/>
      <color indexed="8"/>
      <name val="Arial"/>
      <family val="0"/>
    </font>
    <font>
      <sz val="18"/>
      <color indexed="8"/>
      <name val="Arial"/>
      <family val="0"/>
    </font>
    <font>
      <vertAlign val="subscript"/>
      <sz val="18"/>
      <color indexed="8"/>
      <name val="Arial"/>
      <family val="0"/>
    </font>
    <font>
      <sz val="18"/>
      <color indexed="8"/>
      <name val="Symbol"/>
      <family val="0"/>
    </font>
    <font>
      <vertAlign val="superscript"/>
      <sz val="1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38" fontId="13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1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13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6" fontId="13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57">
      <alignment/>
      <protection/>
    </xf>
    <xf numFmtId="0" fontId="5" fillId="0" borderId="0" xfId="57" applyFont="1">
      <alignment/>
      <protection/>
    </xf>
    <xf numFmtId="2" fontId="4" fillId="0" borderId="0" xfId="57" applyNumberFormat="1">
      <alignment/>
      <protection/>
    </xf>
    <xf numFmtId="0" fontId="4" fillId="0" borderId="0" xfId="57" quotePrefix="1">
      <alignment/>
      <protection/>
    </xf>
    <xf numFmtId="2" fontId="6" fillId="0" borderId="0" xfId="57" applyNumberFormat="1" applyFont="1">
      <alignment/>
      <protection/>
    </xf>
    <xf numFmtId="2" fontId="4" fillId="0" borderId="0" xfId="57" applyNumberFormat="1" quotePrefix="1">
      <alignment/>
      <protection/>
    </xf>
    <xf numFmtId="2" fontId="5" fillId="0" borderId="0" xfId="57" applyNumberFormat="1" applyFont="1" quotePrefix="1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left"/>
      <protection/>
    </xf>
    <xf numFmtId="2" fontId="8" fillId="0" borderId="0" xfId="57" applyNumberFormat="1" applyFont="1">
      <alignment/>
      <protection/>
    </xf>
    <xf numFmtId="2" fontId="5" fillId="0" borderId="0" xfId="57" applyNumberFormat="1" applyFont="1">
      <alignment/>
      <protection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12" fillId="0" borderId="0" xfId="63" applyFont="1">
      <alignment/>
      <protection/>
    </xf>
    <xf numFmtId="171" fontId="12" fillId="0" borderId="0" xfId="63" applyNumberFormat="1" applyFont="1">
      <alignment/>
      <protection/>
    </xf>
    <xf numFmtId="0" fontId="4" fillId="0" borderId="0" xfId="63">
      <alignment/>
      <protection/>
    </xf>
    <xf numFmtId="171" fontId="4" fillId="0" borderId="0" xfId="63" applyNumberFormat="1">
      <alignment/>
      <protection/>
    </xf>
    <xf numFmtId="0" fontId="4" fillId="0" borderId="0" xfId="63" applyFont="1">
      <alignment/>
      <protection/>
    </xf>
    <xf numFmtId="0" fontId="4" fillId="0" borderId="0" xfId="63" applyFont="1" quotePrefix="1">
      <alignment/>
      <protection/>
    </xf>
    <xf numFmtId="2" fontId="4" fillId="0" borderId="0" xfId="63" applyNumberFormat="1">
      <alignment/>
      <protection/>
    </xf>
    <xf numFmtId="170" fontId="4" fillId="0" borderId="0" xfId="63" applyNumberFormat="1">
      <alignment/>
      <protection/>
    </xf>
    <xf numFmtId="1" fontId="4" fillId="0" borderId="0" xfId="63" applyNumberFormat="1">
      <alignment/>
      <protection/>
    </xf>
    <xf numFmtId="0" fontId="5" fillId="0" borderId="0" xfId="63" applyFont="1">
      <alignment/>
      <protection/>
    </xf>
    <xf numFmtId="170" fontId="5" fillId="0" borderId="0" xfId="63" applyNumberFormat="1" applyFont="1">
      <alignment/>
      <protection/>
    </xf>
    <xf numFmtId="0" fontId="4" fillId="33" borderId="0" xfId="63" applyFill="1">
      <alignment/>
      <protection/>
    </xf>
    <xf numFmtId="0" fontId="4" fillId="33" borderId="0" xfId="63" applyFont="1" applyFill="1">
      <alignment/>
      <protection/>
    </xf>
    <xf numFmtId="2" fontId="4" fillId="33" borderId="0" xfId="57" applyNumberFormat="1" applyFill="1">
      <alignment/>
      <protection/>
    </xf>
    <xf numFmtId="171" fontId="4" fillId="0" borderId="0" xfId="63" applyNumberFormat="1" applyFont="1">
      <alignment/>
      <protection/>
    </xf>
    <xf numFmtId="0" fontId="4" fillId="0" borderId="0" xfId="63" applyFont="1" applyAlignment="1">
      <alignment horizontal="right"/>
      <protection/>
    </xf>
    <xf numFmtId="0" fontId="4" fillId="0" borderId="0" xfId="63" applyFont="1">
      <alignment/>
      <protection/>
    </xf>
    <xf numFmtId="0" fontId="4" fillId="0" borderId="0" xfId="58" applyFill="1">
      <alignment/>
      <protection/>
    </xf>
    <xf numFmtId="0" fontId="4" fillId="34" borderId="0" xfId="59" applyFont="1" applyFill="1" quotePrefix="1">
      <alignment/>
      <protection/>
    </xf>
    <xf numFmtId="0" fontId="4" fillId="34" borderId="0" xfId="59" applyFont="1" applyFill="1">
      <alignment/>
      <protection/>
    </xf>
    <xf numFmtId="0" fontId="4" fillId="34" borderId="0" xfId="59" applyFill="1">
      <alignment/>
      <protection/>
    </xf>
    <xf numFmtId="171" fontId="4" fillId="34" borderId="0" xfId="63" applyNumberFormat="1" applyFill="1">
      <alignment/>
      <protection/>
    </xf>
    <xf numFmtId="0" fontId="4" fillId="34" borderId="0" xfId="63" applyFill="1">
      <alignment/>
      <protection/>
    </xf>
    <xf numFmtId="2" fontId="4" fillId="34" borderId="0" xfId="59" applyNumberFormat="1" applyFill="1">
      <alignment/>
      <protection/>
    </xf>
    <xf numFmtId="11" fontId="9" fillId="34" borderId="0" xfId="65" applyNumberFormat="1" applyFill="1">
      <alignment/>
      <protection/>
    </xf>
    <xf numFmtId="0" fontId="4" fillId="34" borderId="0" xfId="59" applyFill="1" quotePrefix="1">
      <alignment/>
      <protection/>
    </xf>
    <xf numFmtId="2" fontId="4" fillId="34" borderId="0" xfId="59" applyNumberFormat="1" applyFill="1" applyAlignment="1">
      <alignment horizontal="center"/>
      <protection/>
    </xf>
    <xf numFmtId="0" fontId="10" fillId="34" borderId="10" xfId="59" applyFont="1" applyFill="1" applyBorder="1" applyAlignment="1">
      <alignment horizontal="center"/>
      <protection/>
    </xf>
    <xf numFmtId="0" fontId="14" fillId="34" borderId="0" xfId="59" applyFont="1" applyFill="1">
      <alignment/>
      <protection/>
    </xf>
    <xf numFmtId="2" fontId="4" fillId="0" borderId="0" xfId="60" applyNumberFormat="1">
      <alignment/>
      <protection/>
    </xf>
    <xf numFmtId="11" fontId="9" fillId="0" borderId="0" xfId="65" applyNumberFormat="1">
      <alignment/>
      <protection/>
    </xf>
    <xf numFmtId="0" fontId="4" fillId="0" borderId="0" xfId="61">
      <alignment/>
      <protection/>
    </xf>
    <xf numFmtId="2" fontId="4" fillId="0" borderId="0" xfId="61" applyNumberFormat="1">
      <alignment/>
      <protection/>
    </xf>
    <xf numFmtId="1" fontId="4" fillId="0" borderId="0" xfId="61" applyNumberFormat="1">
      <alignment/>
      <protection/>
    </xf>
    <xf numFmtId="0" fontId="4" fillId="0" borderId="0" xfId="61" applyFont="1">
      <alignment/>
      <protection/>
    </xf>
    <xf numFmtId="0" fontId="4" fillId="0" borderId="0" xfId="61" applyFont="1" applyFill="1">
      <alignment/>
      <protection/>
    </xf>
    <xf numFmtId="2" fontId="4" fillId="0" borderId="0" xfId="61" applyNumberFormat="1" applyFill="1">
      <alignment/>
      <protection/>
    </xf>
    <xf numFmtId="0" fontId="4" fillId="0" borderId="0" xfId="61" applyFont="1" applyFill="1" applyAlignment="1">
      <alignment wrapText="1"/>
      <protection/>
    </xf>
    <xf numFmtId="0" fontId="4" fillId="0" borderId="0" xfId="62">
      <alignment/>
      <protection/>
    </xf>
    <xf numFmtId="0" fontId="4" fillId="0" borderId="0" xfId="62" applyFill="1">
      <alignment/>
      <protection/>
    </xf>
    <xf numFmtId="0" fontId="4" fillId="0" borderId="0" xfId="62" applyFont="1" applyFill="1" applyAlignment="1">
      <alignment wrapText="1"/>
      <protection/>
    </xf>
    <xf numFmtId="1" fontId="4" fillId="0" borderId="0" xfId="62" applyNumberFormat="1" applyFill="1">
      <alignment/>
      <protection/>
    </xf>
    <xf numFmtId="0" fontId="0" fillId="0" borderId="0" xfId="0" applyAlignment="1">
      <alignment horizontal="right"/>
    </xf>
    <xf numFmtId="0" fontId="4" fillId="0" borderId="0" xfId="57" applyFont="1" applyAlignment="1">
      <alignment horizontal="right"/>
      <protection/>
    </xf>
    <xf numFmtId="2" fontId="4" fillId="0" borderId="0" xfId="57" applyNumberFormat="1" applyFont="1" applyAlignment="1">
      <alignment wrapText="1"/>
      <protection/>
    </xf>
    <xf numFmtId="2" fontId="4" fillId="0" borderId="0" xfId="57" applyNumberFormat="1" applyFont="1">
      <alignment/>
      <protection/>
    </xf>
    <xf numFmtId="4" fontId="4" fillId="0" borderId="0" xfId="57" applyNumberFormat="1">
      <alignment/>
      <protection/>
    </xf>
    <xf numFmtId="4" fontId="8" fillId="0" borderId="0" xfId="57" applyNumberFormat="1" applyFont="1">
      <alignment/>
      <protection/>
    </xf>
    <xf numFmtId="4" fontId="4" fillId="0" borderId="0" xfId="57" applyNumberFormat="1" applyFont="1">
      <alignment/>
      <protection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5" fillId="35" borderId="0" xfId="57" applyFont="1" applyFill="1">
      <alignment/>
      <protection/>
    </xf>
    <xf numFmtId="2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4" fontId="5" fillId="0" borderId="0" xfId="57" applyNumberFormat="1" applyFont="1">
      <alignment/>
      <protection/>
    </xf>
    <xf numFmtId="4" fontId="4" fillId="0" borderId="0" xfId="57" applyNumberFormat="1" applyFill="1">
      <alignment/>
      <protection/>
    </xf>
    <xf numFmtId="2" fontId="4" fillId="0" borderId="0" xfId="57" applyNumberFormat="1" applyFill="1">
      <alignment/>
      <protection/>
    </xf>
    <xf numFmtId="0" fontId="2" fillId="36" borderId="0" xfId="0" applyFont="1" applyFill="1" applyAlignment="1">
      <alignment/>
    </xf>
    <xf numFmtId="0" fontId="4" fillId="36" borderId="0" xfId="57" applyFill="1">
      <alignment/>
      <protection/>
    </xf>
    <xf numFmtId="4" fontId="4" fillId="36" borderId="0" xfId="57" applyNumberFormat="1" applyFill="1">
      <alignment/>
      <protection/>
    </xf>
    <xf numFmtId="2" fontId="4" fillId="36" borderId="0" xfId="57" applyNumberFormat="1" applyFill="1">
      <alignment/>
      <protection/>
    </xf>
    <xf numFmtId="0" fontId="4" fillId="0" borderId="0" xfId="57" applyFont="1" applyAlignment="1">
      <alignment wrapText="1"/>
      <protection/>
    </xf>
    <xf numFmtId="0" fontId="5" fillId="36" borderId="0" xfId="57" applyFont="1" applyFill="1">
      <alignment/>
      <protection/>
    </xf>
    <xf numFmtId="0" fontId="4" fillId="0" borderId="0" xfId="57" applyFill="1">
      <alignment/>
      <protection/>
    </xf>
    <xf numFmtId="2" fontId="4" fillId="0" borderId="0" xfId="63" applyNumberFormat="1" applyFont="1">
      <alignment/>
      <protection/>
    </xf>
    <xf numFmtId="0" fontId="4" fillId="37" borderId="0" xfId="57" applyFill="1">
      <alignment/>
      <protection/>
    </xf>
    <xf numFmtId="4" fontId="4" fillId="37" borderId="0" xfId="57" applyNumberFormat="1" applyFill="1">
      <alignment/>
      <protection/>
    </xf>
    <xf numFmtId="2" fontId="4" fillId="37" borderId="0" xfId="57" applyNumberFormat="1" applyFill="1">
      <alignment/>
      <protection/>
    </xf>
    <xf numFmtId="2" fontId="4" fillId="38" borderId="0" xfId="63" applyNumberFormat="1" applyFill="1">
      <alignment/>
      <protection/>
    </xf>
    <xf numFmtId="0" fontId="4" fillId="39" borderId="0" xfId="57" applyFill="1">
      <alignment/>
      <protection/>
    </xf>
    <xf numFmtId="4" fontId="4" fillId="39" borderId="0" xfId="57" applyNumberFormat="1" applyFill="1">
      <alignment/>
      <protection/>
    </xf>
    <xf numFmtId="2" fontId="4" fillId="39" borderId="0" xfId="57" applyNumberFormat="1" applyFill="1">
      <alignment/>
      <protection/>
    </xf>
    <xf numFmtId="2" fontId="4" fillId="0" borderId="0" xfId="63" applyNumberFormat="1" applyFill="1">
      <alignment/>
      <protection/>
    </xf>
    <xf numFmtId="0" fontId="4" fillId="0" borderId="0" xfId="63" applyFill="1">
      <alignment/>
      <protection/>
    </xf>
    <xf numFmtId="0" fontId="5" fillId="39" borderId="0" xfId="57" applyFont="1" applyFill="1">
      <alignment/>
      <protection/>
    </xf>
    <xf numFmtId="4" fontId="8" fillId="39" borderId="0" xfId="57" applyNumberFormat="1" applyFont="1" applyFill="1">
      <alignment/>
      <protection/>
    </xf>
    <xf numFmtId="4" fontId="4" fillId="0" borderId="0" xfId="63" applyNumberFormat="1" applyFill="1">
      <alignment/>
      <protection/>
    </xf>
    <xf numFmtId="4" fontId="4" fillId="0" borderId="0" xfId="63" applyNumberFormat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gliaia (0)_$$-AQUAPAST" xfId="55"/>
    <cellStyle name="Neutral" xfId="56"/>
    <cellStyle name="Normal 2" xfId="57"/>
    <cellStyle name="Normal 4" xfId="58"/>
    <cellStyle name="Normal 5" xfId="59"/>
    <cellStyle name="Normal 6" xfId="60"/>
    <cellStyle name="Normal 7" xfId="61"/>
    <cellStyle name="Normal 8" xfId="62"/>
    <cellStyle name="Normal_thermcon" xfId="63"/>
    <cellStyle name="Normale_ACQ-ER" xfId="64"/>
    <cellStyle name="Normale_ER_SOIL_PERIODIC" xfId="65"/>
    <cellStyle name="Note" xfId="66"/>
    <cellStyle name="Output" xfId="67"/>
    <cellStyle name="Percent" xfId="68"/>
    <cellStyle name="Standard_Export (Box10)" xfId="69"/>
    <cellStyle name="Title" xfId="70"/>
    <cellStyle name="Total" xfId="71"/>
    <cellStyle name="Valuta (0)_$$-AQUAPAST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15"/>
          <c:w val="0.8535"/>
          <c:h val="0.78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'data for chart'!$H$73</c:f>
              <c:numCache>
                <c:ptCount val="1"/>
                <c:pt idx="0">
                  <c:v>550</c:v>
                </c:pt>
              </c:numCache>
            </c:numRef>
          </c:xVal>
          <c:yVal>
            <c:numRef>
              <c:f>'data for chart'!$I$73</c:f>
              <c:numCache>
                <c:ptCount val="1"/>
                <c:pt idx="0">
                  <c:v>-8.54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  <a:prstDash val="dash"/>
              </a:ln>
            </c:spPr>
            <c:marker>
              <c:symbol val="circle"/>
              <c:size val="10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'data for chart'!$A$63:$A$65</c:f>
              <c:numCache>
                <c:ptCount val="3"/>
                <c:pt idx="0">
                  <c:v>4935</c:v>
                </c:pt>
                <c:pt idx="1">
                  <c:v>1400</c:v>
                </c:pt>
                <c:pt idx="2">
                  <c:v>500</c:v>
                </c:pt>
              </c:numCache>
            </c:numRef>
          </c:xVal>
          <c:yVal>
            <c:numRef>
              <c:f>'data for chart'!$C$63:$C$65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'data for chart'!$K$73</c:f>
              <c:numCache>
                <c:ptCount val="1"/>
                <c:pt idx="0">
                  <c:v>550</c:v>
                </c:pt>
              </c:numCache>
            </c:numRef>
          </c:xVal>
          <c:yVal>
            <c:numRef>
              <c:f>'data for chart'!$L$73</c:f>
              <c:numCache>
                <c:ptCount val="1"/>
                <c:pt idx="0">
                  <c:v>-8.07</c:v>
                </c:pt>
              </c:numCache>
            </c:numRef>
          </c:yVal>
          <c:smooth val="0"/>
        </c:ser>
        <c:ser>
          <c:idx val="2"/>
          <c:order val="3"/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solidFill>
                <a:srgbClr val="10253F"/>
              </a:solidFill>
              <a:ln w="25400">
                <a:solidFill>
                  <a:srgbClr val="808000"/>
                </a:solidFill>
                <a:prstDash val="sysDot"/>
              </a:ln>
            </c:spPr>
            <c:marker>
              <c:size val="5"/>
              <c:spPr>
                <a:solidFill>
                  <a:srgbClr val="333333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solidFill>
                <a:srgbClr val="10253F"/>
              </a:solidFill>
              <a:ln w="25400">
                <a:solidFill>
                  <a:srgbClr val="808000"/>
                </a:solidFill>
                <a:prstDash val="sysDot"/>
              </a:ln>
            </c:spPr>
            <c:marker>
              <c:size val="5"/>
              <c:spPr>
                <a:solidFill>
                  <a:srgbClr val="333333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'data for chart'!$I$81:$I$82</c:f>
              <c:numCache>
                <c:ptCount val="2"/>
                <c:pt idx="0">
                  <c:v>500</c:v>
                </c:pt>
                <c:pt idx="1">
                  <c:v>500</c:v>
                </c:pt>
              </c:numCache>
            </c:numRef>
          </c:xVal>
          <c:yVal>
            <c:numRef>
              <c:f>'data for chart'!$J$81:$J$82</c:f>
              <c:numCache>
                <c:ptCount val="2"/>
                <c:pt idx="0">
                  <c:v>-13</c:v>
                </c:pt>
                <c:pt idx="1">
                  <c:v>-3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800000"/>
                </a:solidFill>
              </a:ln>
            </c:spPr>
            <c:marker>
              <c:symbol val="none"/>
            </c:marker>
          </c:dPt>
          <c:xVal>
            <c:numRef>
              <c:f>'data for chart'!$O$87:$O$88</c:f>
              <c:numCache>
                <c:ptCount val="2"/>
                <c:pt idx="0">
                  <c:v>3548.133892335753</c:v>
                </c:pt>
                <c:pt idx="1">
                  <c:v>1479.1083881682066</c:v>
                </c:pt>
              </c:numCache>
            </c:numRef>
          </c:xVal>
          <c:yVal>
            <c:numRef>
              <c:f>'data for chart'!$P$87:$P$88</c:f>
              <c:numCache>
                <c:ptCount val="2"/>
                <c:pt idx="0">
                  <c:v>-13</c:v>
                </c:pt>
                <c:pt idx="1">
                  <c:v>-12.099027499999998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for chart'!$O$91:$O$92</c:f>
              <c:numCache>
                <c:ptCount val="2"/>
                <c:pt idx="0">
                  <c:v>3235.9365692962792</c:v>
                </c:pt>
                <c:pt idx="1">
                  <c:v>1258.9254117941662</c:v>
                </c:pt>
              </c:numCache>
            </c:numRef>
          </c:xVal>
          <c:yVal>
            <c:numRef>
              <c:f>'data for chart'!$P$91:$P$92</c:f>
              <c:numCache>
                <c:ptCount val="2"/>
                <c:pt idx="0">
                  <c:v>-13</c:v>
                </c:pt>
                <c:pt idx="1">
                  <c:v>-11.397998333333332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333399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'data for chart'!$O$95:$O$96</c:f>
              <c:numCache>
                <c:ptCount val="2"/>
                <c:pt idx="0">
                  <c:v>3388.4415613920214</c:v>
                </c:pt>
                <c:pt idx="1">
                  <c:v>1288.249551693133</c:v>
                </c:pt>
              </c:numCache>
            </c:numRef>
          </c:xVal>
          <c:yVal>
            <c:numRef>
              <c:f>'data for chart'!$P$95:$P$96</c:f>
              <c:numCache>
                <c:ptCount val="2"/>
                <c:pt idx="0">
                  <c:v>-13</c:v>
                </c:pt>
                <c:pt idx="1">
                  <c:v>-11.300276086956524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'data for chart'!$O$88:$O$89</c:f>
              <c:numCache>
                <c:ptCount val="2"/>
                <c:pt idx="0">
                  <c:v>1479.1083881682066</c:v>
                </c:pt>
                <c:pt idx="1">
                  <c:v>501.1872336272721</c:v>
                </c:pt>
              </c:numCache>
            </c:numRef>
          </c:xVal>
          <c:yVal>
            <c:numRef>
              <c:f>'data for chart'!$P$88:$P$89</c:f>
              <c:numCache>
                <c:ptCount val="2"/>
                <c:pt idx="0">
                  <c:v>-12.099027499999998</c:v>
                </c:pt>
                <c:pt idx="1">
                  <c:v>-11.44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-3.3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for chart'!$M$107:$M$118</c:f>
              <c:numCache>
                <c:ptCount val="12"/>
                <c:pt idx="1">
                  <c:v>5011.872336272721</c:v>
                </c:pt>
                <c:pt idx="2">
                  <c:v>3981.071705534972</c:v>
                </c:pt>
                <c:pt idx="3">
                  <c:v>3162.2776601683763</c:v>
                </c:pt>
                <c:pt idx="4">
                  <c:v>2511.8864315095775</c:v>
                </c:pt>
                <c:pt idx="5">
                  <c:v>1995.262314968878</c:v>
                </c:pt>
                <c:pt idx="6">
                  <c:v>1584.8931924611134</c:v>
                </c:pt>
                <c:pt idx="7">
                  <c:v>1258.9254117941662</c:v>
                </c:pt>
                <c:pt idx="8">
                  <c:v>1000</c:v>
                </c:pt>
                <c:pt idx="9">
                  <c:v>794.328234724281</c:v>
                </c:pt>
                <c:pt idx="10">
                  <c:v>630.9573444801924</c:v>
                </c:pt>
                <c:pt idx="11">
                  <c:v>501.1872336272721</c:v>
                </c:pt>
              </c:numCache>
            </c:numRef>
          </c:xVal>
          <c:yVal>
            <c:numRef>
              <c:f>'data for chart'!$N$107:$N$118</c:f>
              <c:numCache>
                <c:ptCount val="12"/>
                <c:pt idx="1">
                  <c:v>-16</c:v>
                </c:pt>
                <c:pt idx="2">
                  <c:v>-16</c:v>
                </c:pt>
                <c:pt idx="3">
                  <c:v>-16</c:v>
                </c:pt>
                <c:pt idx="4">
                  <c:v>-16</c:v>
                </c:pt>
                <c:pt idx="5">
                  <c:v>-16</c:v>
                </c:pt>
                <c:pt idx="6">
                  <c:v>-16</c:v>
                </c:pt>
                <c:pt idx="7">
                  <c:v>-16</c:v>
                </c:pt>
                <c:pt idx="8">
                  <c:v>-16</c:v>
                </c:pt>
                <c:pt idx="9">
                  <c:v>-16</c:v>
                </c:pt>
                <c:pt idx="10">
                  <c:v>-16</c:v>
                </c:pt>
                <c:pt idx="11">
                  <c:v>-16</c:v>
                </c:pt>
              </c:numCache>
            </c:numRef>
          </c:yVal>
          <c:smooth val="0"/>
        </c:ser>
        <c:ser>
          <c:idx val="9"/>
          <c:order val="9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solidFill>
                <a:srgbClr val="953735"/>
              </a:solidFill>
              <a:ln w="12700">
                <a:solidFill>
                  <a:srgbClr val="000000"/>
                </a:solidFill>
                <a:prstDash val="dash"/>
              </a:ln>
            </c:spPr>
            <c:marker>
              <c:symbol val="diamond"/>
              <c:size val="6"/>
              <c:spPr>
                <a:solidFill>
                  <a:srgbClr val="99336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solidFill>
                <a:srgbClr val="953735"/>
              </a:solidFill>
              <a:ln w="254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'Rayleigh calculations generic'!$T$10:$T$13</c:f>
              <c:numCache>
                <c:ptCount val="4"/>
                <c:pt idx="0">
                  <c:v>4950</c:v>
                </c:pt>
                <c:pt idx="1">
                  <c:v>3388.4415613920214</c:v>
                </c:pt>
                <c:pt idx="2">
                  <c:v>1288.249551693133</c:v>
                </c:pt>
                <c:pt idx="3">
                  <c:v>501.1872336272721</c:v>
                </c:pt>
              </c:numCache>
            </c:numRef>
          </c:xVal>
          <c:yVal>
            <c:numRef>
              <c:f>'Rayleigh calculations generic'!$U$10:$U$13</c:f>
              <c:numCache>
                <c:ptCount val="4"/>
                <c:pt idx="0">
                  <c:v>-14.5</c:v>
                </c:pt>
                <c:pt idx="1">
                  <c:v>-13</c:v>
                </c:pt>
                <c:pt idx="2">
                  <c:v>-12.58026361193254</c:v>
                </c:pt>
                <c:pt idx="3">
                  <c:v>-12.32150405426058</c:v>
                </c:pt>
              </c:numCache>
            </c:numRef>
          </c:yVal>
          <c:smooth val="0"/>
        </c:ser>
        <c:axId val="59482412"/>
        <c:axId val="65579661"/>
      </c:scatterChart>
      <c:valAx>
        <c:axId val="59482412"/>
        <c:scaling>
          <c:orientation val="minMax"/>
          <c:max val="5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4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, ppm</a:t>
                </a:r>
              </a:p>
            </c:rich>
          </c:tx>
          <c:layout>
            <c:manualLayout>
              <c:xMode val="factor"/>
              <c:yMode val="factor"/>
              <c:x val="0.24025"/>
              <c:y val="-0.1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65579661"/>
        <c:crosses val="autoZero"/>
        <c:crossBetween val="midCat"/>
        <c:dispUnits/>
      </c:valAx>
      <c:valAx>
        <c:axId val="65579661"/>
        <c:scaling>
          <c:orientation val="minMax"/>
          <c:max val="-2"/>
          <c:min val="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600" b="0" i="0" u="none" baseline="30000">
                    <a:solidFill>
                      <a:srgbClr val="000000"/>
                    </a:solidFill>
                  </a:rPr>
                  <a:t>13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C, ‰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2412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11325"/>
          <c:w val="0.856"/>
          <c:h val="0.78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'data for chart'!$H$73</c:f>
              <c:numCache>
                <c:ptCount val="1"/>
                <c:pt idx="0">
                  <c:v>550</c:v>
                </c:pt>
              </c:numCache>
            </c:numRef>
          </c:xVal>
          <c:yVal>
            <c:numRef>
              <c:f>'data for chart'!$I$73</c:f>
              <c:numCache>
                <c:ptCount val="1"/>
                <c:pt idx="0">
                  <c:v>-8.54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  <a:prstDash val="dash"/>
              </a:ln>
            </c:spPr>
            <c:marker>
              <c:symbol val="circle"/>
              <c:size val="10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'data for chart'!$A$63:$A$65</c:f>
              <c:numCache>
                <c:ptCount val="3"/>
                <c:pt idx="0">
                  <c:v>4935</c:v>
                </c:pt>
                <c:pt idx="1">
                  <c:v>1400</c:v>
                </c:pt>
                <c:pt idx="2">
                  <c:v>500</c:v>
                </c:pt>
              </c:numCache>
            </c:numRef>
          </c:xVal>
          <c:yVal>
            <c:numRef>
              <c:f>'data for chart'!$C$63:$C$65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'data for chart'!$K$73</c:f>
              <c:numCache>
                <c:ptCount val="1"/>
                <c:pt idx="0">
                  <c:v>550</c:v>
                </c:pt>
              </c:numCache>
            </c:numRef>
          </c:xVal>
          <c:yVal>
            <c:numRef>
              <c:f>'data for chart'!$L$73</c:f>
              <c:numCache>
                <c:ptCount val="1"/>
                <c:pt idx="0">
                  <c:v>-8.07</c:v>
                </c:pt>
              </c:numCache>
            </c:numRef>
          </c:yVal>
          <c:smooth val="0"/>
        </c:ser>
        <c:ser>
          <c:idx val="2"/>
          <c:order val="3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'data for chart'!$I$81:$I$82</c:f>
              <c:numCache>
                <c:ptCount val="2"/>
                <c:pt idx="0">
                  <c:v>500</c:v>
                </c:pt>
                <c:pt idx="1">
                  <c:v>500</c:v>
                </c:pt>
              </c:numCache>
            </c:numRef>
          </c:xVal>
          <c:yVal>
            <c:numRef>
              <c:f>'data for chart'!$J$81:$J$82</c:f>
              <c:numCache>
                <c:ptCount val="2"/>
                <c:pt idx="0">
                  <c:v>-13</c:v>
                </c:pt>
                <c:pt idx="1">
                  <c:v>-3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'data for chart'!$O$87:$O$88</c:f>
              <c:numCache>
                <c:ptCount val="2"/>
                <c:pt idx="0">
                  <c:v>3548.133892335753</c:v>
                </c:pt>
                <c:pt idx="1">
                  <c:v>1479.1083881682066</c:v>
                </c:pt>
              </c:numCache>
            </c:numRef>
          </c:xVal>
          <c:yVal>
            <c:numRef>
              <c:f>'data for chart'!$P$87:$P$88</c:f>
              <c:numCache>
                <c:ptCount val="2"/>
                <c:pt idx="0">
                  <c:v>-13</c:v>
                </c:pt>
                <c:pt idx="1">
                  <c:v>-12.099027499999998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for chart'!$O$91:$O$92</c:f>
              <c:numCache>
                <c:ptCount val="2"/>
                <c:pt idx="0">
                  <c:v>3235.9365692962792</c:v>
                </c:pt>
                <c:pt idx="1">
                  <c:v>1258.9254117941662</c:v>
                </c:pt>
              </c:numCache>
            </c:numRef>
          </c:xVal>
          <c:yVal>
            <c:numRef>
              <c:f>'data for chart'!$P$91:$P$92</c:f>
              <c:numCache>
                <c:ptCount val="2"/>
                <c:pt idx="0">
                  <c:v>-13</c:v>
                </c:pt>
                <c:pt idx="1">
                  <c:v>-11.397998333333332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'data for chart'!$O$95:$O$96</c:f>
              <c:numCache>
                <c:ptCount val="2"/>
                <c:pt idx="0">
                  <c:v>3388.4415613920214</c:v>
                </c:pt>
                <c:pt idx="1">
                  <c:v>1288.249551693133</c:v>
                </c:pt>
              </c:numCache>
            </c:numRef>
          </c:xVal>
          <c:yVal>
            <c:numRef>
              <c:f>'data for chart'!$P$95:$P$96</c:f>
              <c:numCache>
                <c:ptCount val="2"/>
                <c:pt idx="0">
                  <c:v>-13</c:v>
                </c:pt>
                <c:pt idx="1">
                  <c:v>-11.300276086956524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'data for chart'!$O$88:$O$89</c:f>
              <c:numCache>
                <c:ptCount val="2"/>
                <c:pt idx="0">
                  <c:v>1479.1083881682066</c:v>
                </c:pt>
                <c:pt idx="1">
                  <c:v>501.1872336272721</c:v>
                </c:pt>
              </c:numCache>
            </c:numRef>
          </c:xVal>
          <c:yVal>
            <c:numRef>
              <c:f>'data for chart'!$P$88:$P$89</c:f>
              <c:numCache>
                <c:ptCount val="2"/>
                <c:pt idx="0">
                  <c:v>-12.099027499999998</c:v>
                </c:pt>
                <c:pt idx="1">
                  <c:v>-11.44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-3.3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for chart'!$M$107:$M$118</c:f>
              <c:numCache>
                <c:ptCount val="12"/>
                <c:pt idx="1">
                  <c:v>5011.872336272721</c:v>
                </c:pt>
                <c:pt idx="2">
                  <c:v>3981.071705534972</c:v>
                </c:pt>
                <c:pt idx="3">
                  <c:v>3162.2776601683763</c:v>
                </c:pt>
                <c:pt idx="4">
                  <c:v>2511.8864315095775</c:v>
                </c:pt>
                <c:pt idx="5">
                  <c:v>1995.262314968878</c:v>
                </c:pt>
                <c:pt idx="6">
                  <c:v>1584.8931924611134</c:v>
                </c:pt>
                <c:pt idx="7">
                  <c:v>1258.9254117941662</c:v>
                </c:pt>
                <c:pt idx="8">
                  <c:v>1000</c:v>
                </c:pt>
                <c:pt idx="9">
                  <c:v>794.328234724281</c:v>
                </c:pt>
                <c:pt idx="10">
                  <c:v>630.9573444801924</c:v>
                </c:pt>
                <c:pt idx="11">
                  <c:v>501.1872336272721</c:v>
                </c:pt>
              </c:numCache>
            </c:numRef>
          </c:xVal>
          <c:yVal>
            <c:numRef>
              <c:f>'data for chart'!$N$107:$N$118</c:f>
              <c:numCache>
                <c:ptCount val="12"/>
                <c:pt idx="1">
                  <c:v>-16</c:v>
                </c:pt>
                <c:pt idx="2">
                  <c:v>-16</c:v>
                </c:pt>
                <c:pt idx="3">
                  <c:v>-16</c:v>
                </c:pt>
                <c:pt idx="4">
                  <c:v>-16</c:v>
                </c:pt>
                <c:pt idx="5">
                  <c:v>-16</c:v>
                </c:pt>
                <c:pt idx="6">
                  <c:v>-16</c:v>
                </c:pt>
                <c:pt idx="7">
                  <c:v>-16</c:v>
                </c:pt>
                <c:pt idx="8">
                  <c:v>-16</c:v>
                </c:pt>
                <c:pt idx="9">
                  <c:v>-16</c:v>
                </c:pt>
                <c:pt idx="10">
                  <c:v>-16</c:v>
                </c:pt>
                <c:pt idx="11">
                  <c:v>-16</c:v>
                </c:pt>
              </c:numCache>
            </c:numRef>
          </c:yVal>
          <c:smooth val="0"/>
        </c:ser>
        <c:ser>
          <c:idx val="9"/>
          <c:order val="9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solidFill>
                <a:srgbClr val="953735"/>
              </a:solidFill>
              <a:ln w="12700">
                <a:solidFill>
                  <a:srgbClr val="000000"/>
                </a:solidFill>
                <a:prstDash val="dash"/>
              </a:ln>
            </c:spPr>
            <c:marker>
              <c:symbol val="diamond"/>
              <c:size val="6"/>
              <c:spPr>
                <a:solidFill>
                  <a:srgbClr val="99336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solidFill>
                <a:srgbClr val="953735"/>
              </a:solidFill>
              <a:ln w="254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'Rayleigh calculations generic'!$T$10:$T$13</c:f>
              <c:numCache>
                <c:ptCount val="4"/>
                <c:pt idx="0">
                  <c:v>4950</c:v>
                </c:pt>
                <c:pt idx="1">
                  <c:v>3388.4415613920214</c:v>
                </c:pt>
                <c:pt idx="2">
                  <c:v>1288.249551693133</c:v>
                </c:pt>
                <c:pt idx="3">
                  <c:v>501.1872336272721</c:v>
                </c:pt>
              </c:numCache>
            </c:numRef>
          </c:xVal>
          <c:yVal>
            <c:numRef>
              <c:f>'Rayleigh calculations generic'!$U$10:$U$13</c:f>
              <c:numCache>
                <c:ptCount val="4"/>
                <c:pt idx="0">
                  <c:v>-14.5</c:v>
                </c:pt>
                <c:pt idx="1">
                  <c:v>-13</c:v>
                </c:pt>
                <c:pt idx="2">
                  <c:v>-12.58026361193254</c:v>
                </c:pt>
                <c:pt idx="3">
                  <c:v>-12.32150405426058</c:v>
                </c:pt>
              </c:numCache>
            </c:numRef>
          </c:yVal>
          <c:smooth val="0"/>
        </c:ser>
        <c:axId val="53346038"/>
        <c:axId val="10352295"/>
      </c:scatterChart>
      <c:valAx>
        <c:axId val="53346038"/>
        <c:scaling>
          <c:orientation val="minMax"/>
          <c:max val="5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pCO</a:t>
                </a:r>
                <a:r>
                  <a:rPr lang="en-US" cap="none" sz="18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, ppm</a:t>
                </a:r>
              </a:p>
            </c:rich>
          </c:tx>
          <c:layout>
            <c:manualLayout>
              <c:xMode val="factor"/>
              <c:yMode val="factor"/>
              <c:x val="0.265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10352295"/>
        <c:crosses val="autoZero"/>
        <c:crossBetween val="midCat"/>
        <c:dispUnits/>
      </c:valAx>
      <c:valAx>
        <c:axId val="10352295"/>
        <c:scaling>
          <c:orientation val="minMax"/>
          <c:max val="-2"/>
          <c:min val="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800" b="0" i="0" u="none" baseline="30000">
                    <a:solidFill>
                      <a:srgbClr val="000000"/>
                    </a:solidFill>
                  </a:rPr>
                  <a:t>13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C, ‰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6038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fitToHeight="0" fitToWidth="0"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0.75625</cdr:x>
      <cdr:y>0.72275</cdr:y>
    </cdr:from>
    <cdr:to>
      <cdr:x>0.97275</cdr:x>
      <cdr:y>0.841</cdr:y>
    </cdr:to>
    <cdr:sp>
      <cdr:nvSpPr>
        <cdr:cNvPr id="1" name="Text Box 1"/>
        <cdr:cNvSpPr txBox="1">
          <a:spLocks noChangeArrowheads="1"/>
        </cdr:cNvSpPr>
      </cdr:nvSpPr>
      <cdr:spPr>
        <a:xfrm>
          <a:off x="7010400" y="4114800"/>
          <a:ext cx="20097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Initial soil</a:t>
          </a:r>
        </a:p>
      </cdr:txBody>
    </cdr:sp>
  </cdr:relSizeAnchor>
  <cdr:relSizeAnchor xmlns:cdr="http://schemas.openxmlformats.org/drawingml/2006/chartDrawing">
    <cdr:from>
      <cdr:x>0.2485</cdr:x>
      <cdr:y>0.62425</cdr:y>
    </cdr:from>
    <cdr:to>
      <cdr:x>0.50025</cdr:x>
      <cdr:y>0.68125</cdr:y>
    </cdr:to>
    <cdr:sp>
      <cdr:nvSpPr>
        <cdr:cNvPr id="2" name="Text Box 2"/>
        <cdr:cNvSpPr txBox="1">
          <a:spLocks noChangeArrowheads="1"/>
        </cdr:cNvSpPr>
      </cdr:nvSpPr>
      <cdr:spPr>
        <a:xfrm>
          <a:off x="2305050" y="3552825"/>
          <a:ext cx="2333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36576" bIns="0"/>
        <a:p>
          <a:pPr algn="r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Equilibrium degassing </a:t>
          </a:r>
        </a:p>
      </cdr:txBody>
    </cdr:sp>
  </cdr:relSizeAnchor>
  <cdr:relSizeAnchor xmlns:cdr="http://schemas.openxmlformats.org/drawingml/2006/chartDrawing">
    <cdr:from>
      <cdr:x>0.335</cdr:x>
      <cdr:y>0.48425</cdr:y>
    </cdr:from>
    <cdr:to>
      <cdr:x>0.44925</cdr:x>
      <cdr:y>0.53925</cdr:y>
    </cdr:to>
    <cdr:sp>
      <cdr:nvSpPr>
        <cdr:cNvPr id="3" name="Text Box 3"/>
        <cdr:cNvSpPr txBox="1">
          <a:spLocks noChangeArrowheads="1"/>
        </cdr:cNvSpPr>
      </cdr:nvSpPr>
      <cdr:spPr>
        <a:xfrm>
          <a:off x="3105150" y="2752725"/>
          <a:ext cx="1057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Dripwaters</a:t>
          </a:r>
        </a:p>
      </cdr:txBody>
    </cdr:sp>
  </cdr:relSizeAnchor>
  <cdr:relSizeAnchor xmlns:cdr="http://schemas.openxmlformats.org/drawingml/2006/chartDrawing">
    <cdr:from>
      <cdr:x>0.257</cdr:x>
      <cdr:y>0.326</cdr:y>
    </cdr:from>
    <cdr:to>
      <cdr:x>0.47725</cdr:x>
      <cdr:y>0.42125</cdr:y>
    </cdr:to>
    <cdr:sp>
      <cdr:nvSpPr>
        <cdr:cNvPr id="4" name="Text Box 10"/>
        <cdr:cNvSpPr txBox="1">
          <a:spLocks noChangeArrowheads="1"/>
        </cdr:cNvSpPr>
      </cdr:nvSpPr>
      <cdr:spPr>
        <a:xfrm>
          <a:off x="2381250" y="1847850"/>
          <a:ext cx="20478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Ernesto stalagmites ER76 and ER77</a:t>
          </a:r>
        </a:p>
      </cdr:txBody>
    </cdr:sp>
  </cdr:relSizeAnchor>
  <cdr:relSizeAnchor xmlns:cdr="http://schemas.openxmlformats.org/drawingml/2006/chartDrawing">
    <cdr:from>
      <cdr:x>0.2105</cdr:x>
      <cdr:y>0.37625</cdr:y>
    </cdr:from>
    <cdr:to>
      <cdr:x>0.257</cdr:x>
      <cdr:y>0.397</cdr:y>
    </cdr:to>
    <cdr:sp>
      <cdr:nvSpPr>
        <cdr:cNvPr id="5" name="Line 13"/>
        <cdr:cNvSpPr>
          <a:spLocks/>
        </cdr:cNvSpPr>
      </cdr:nvSpPr>
      <cdr:spPr>
        <a:xfrm flipH="1">
          <a:off x="1952625" y="2133600"/>
          <a:ext cx="4286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0.24625</cdr:x>
      <cdr:y>0.57525</cdr:y>
    </cdr:from>
    <cdr:to>
      <cdr:x>0.287</cdr:x>
      <cdr:y>0.69725</cdr:y>
    </cdr:to>
    <cdr:sp>
      <cdr:nvSpPr>
        <cdr:cNvPr id="6" name="Line 13"/>
        <cdr:cNvSpPr>
          <a:spLocks/>
        </cdr:cNvSpPr>
      </cdr:nvSpPr>
      <cdr:spPr>
        <a:xfrm>
          <a:off x="2276475" y="3267075"/>
          <a:ext cx="3810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0.32175</cdr:x>
      <cdr:y>0.517</cdr:y>
    </cdr:from>
    <cdr:to>
      <cdr:x>0.335</cdr:x>
      <cdr:y>0.54575</cdr:y>
    </cdr:to>
    <cdr:sp>
      <cdr:nvSpPr>
        <cdr:cNvPr id="7" name="Line 13"/>
        <cdr:cNvSpPr>
          <a:spLocks/>
        </cdr:cNvSpPr>
      </cdr:nvSpPr>
      <cdr:spPr>
        <a:xfrm flipH="1">
          <a:off x="2981325" y="294322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0.68925</cdr:y>
    </cdr:from>
    <cdr:to>
      <cdr:x>0.2105</cdr:x>
      <cdr:y>0.8015</cdr:y>
    </cdr:to>
    <cdr:sp>
      <cdr:nvSpPr>
        <cdr:cNvPr id="8" name="Text Box 3"/>
        <cdr:cNvSpPr txBox="1">
          <a:spLocks noChangeArrowheads="1"/>
        </cdr:cNvSpPr>
      </cdr:nvSpPr>
      <cdr:spPr>
        <a:xfrm>
          <a:off x="1190625" y="3924300"/>
          <a:ext cx="7620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Cave air, winter</a:t>
          </a:r>
        </a:p>
      </cdr:txBody>
    </cdr:sp>
  </cdr:relSizeAnchor>
  <cdr:relSizeAnchor xmlns:cdr="http://schemas.openxmlformats.org/drawingml/2006/chartDrawing">
    <cdr:from>
      <cdr:x>0.17725</cdr:x>
      <cdr:y>0.65025</cdr:y>
    </cdr:from>
    <cdr:to>
      <cdr:x>0.1935</cdr:x>
      <cdr:y>0.69725</cdr:y>
    </cdr:to>
    <cdr:sp>
      <cdr:nvSpPr>
        <cdr:cNvPr id="9" name="Line 13"/>
        <cdr:cNvSpPr>
          <a:spLocks/>
        </cdr:cNvSpPr>
      </cdr:nvSpPr>
      <cdr:spPr>
        <a:xfrm flipV="1">
          <a:off x="1638300" y="3695700"/>
          <a:ext cx="152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0.2045</cdr:x>
      <cdr:y>0.14975</cdr:y>
    </cdr:from>
    <cdr:to>
      <cdr:x>0.2445</cdr:x>
      <cdr:y>0.1545</cdr:y>
    </cdr:to>
    <cdr:sp>
      <cdr:nvSpPr>
        <cdr:cNvPr id="10" name="Line 13"/>
        <cdr:cNvSpPr>
          <a:spLocks/>
        </cdr:cNvSpPr>
      </cdr:nvSpPr>
      <cdr:spPr>
        <a:xfrm flipH="1">
          <a:off x="1895475" y="847725"/>
          <a:ext cx="3714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0.12775</cdr:y>
    </cdr:from>
    <cdr:to>
      <cdr:x>0.75225</cdr:x>
      <cdr:y>0.174</cdr:y>
    </cdr:to>
    <cdr:sp>
      <cdr:nvSpPr>
        <cdr:cNvPr id="11" name="Text Box 10"/>
        <cdr:cNvSpPr txBox="1">
          <a:spLocks noChangeArrowheads="1"/>
        </cdr:cNvSpPr>
      </cdr:nvSpPr>
      <cdr:spPr>
        <a:xfrm>
          <a:off x="2257425" y="723900"/>
          <a:ext cx="4714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Theoretical water equilibrated with cave air</a:t>
          </a:r>
        </a:p>
      </cdr:txBody>
    </cdr:sp>
  </cdr:relSizeAnchor>
  <cdr:relSizeAnchor xmlns:cdr="http://schemas.openxmlformats.org/drawingml/2006/chartDrawing">
    <cdr:from>
      <cdr:x>0.5545</cdr:x>
      <cdr:y>0.4165</cdr:y>
    </cdr:from>
    <cdr:to>
      <cdr:x>0.89675</cdr:x>
      <cdr:y>0.52775</cdr:y>
    </cdr:to>
    <cdr:sp>
      <cdr:nvSpPr>
        <cdr:cNvPr id="12" name="Text Box 3"/>
        <cdr:cNvSpPr txBox="1">
          <a:spLocks noChangeArrowheads="1"/>
        </cdr:cNvSpPr>
      </cdr:nvSpPr>
      <cdr:spPr>
        <a:xfrm>
          <a:off x="5143500" y="2371725"/>
          <a:ext cx="31718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Calcite-saturated regolith water, (composition modelled from dripwaters)</a:t>
          </a:r>
        </a:p>
      </cdr:txBody>
    </cdr:sp>
  </cdr:relSizeAnchor>
  <cdr:relSizeAnchor xmlns:cdr="http://schemas.openxmlformats.org/drawingml/2006/chartDrawing">
    <cdr:from>
      <cdr:x>0.40775</cdr:x>
      <cdr:y>0.53375</cdr:y>
    </cdr:from>
    <cdr:to>
      <cdr:x>0.6025</cdr:x>
      <cdr:y>0.59875</cdr:y>
    </cdr:to>
    <cdr:sp>
      <cdr:nvSpPr>
        <cdr:cNvPr id="13" name="Text Box 2"/>
        <cdr:cNvSpPr txBox="1">
          <a:spLocks noChangeArrowheads="1"/>
        </cdr:cNvSpPr>
      </cdr:nvSpPr>
      <cdr:spPr>
        <a:xfrm>
          <a:off x="3781425" y="3038475"/>
          <a:ext cx="18097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36576" bIns="0"/>
        <a:p>
          <a:pPr algn="r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Kinetically enhanced degassing</a:t>
          </a:r>
        </a:p>
      </cdr:txBody>
    </cdr:sp>
  </cdr:relSizeAnchor>
  <cdr:relSizeAnchor xmlns:cdr="http://schemas.openxmlformats.org/drawingml/2006/chartDrawing">
    <cdr:from>
      <cdr:x>0.2825</cdr:x>
      <cdr:y>0.67775</cdr:y>
    </cdr:from>
    <cdr:to>
      <cdr:x>0.52275</cdr:x>
      <cdr:y>0.789</cdr:y>
    </cdr:to>
    <cdr:sp>
      <cdr:nvSpPr>
        <cdr:cNvPr id="14" name="Text Box 3"/>
        <cdr:cNvSpPr txBox="1">
          <a:spLocks noChangeArrowheads="1"/>
        </cdr:cNvSpPr>
      </cdr:nvSpPr>
      <cdr:spPr>
        <a:xfrm>
          <a:off x="2619375" y="3857625"/>
          <a:ext cx="22288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Continued  kinetic degassing of G1 fast drip</a:t>
          </a:r>
        </a:p>
      </cdr:txBody>
    </cdr:sp>
  </cdr:relSizeAnchor>
  <cdr:relSizeAnchor xmlns:cdr="http://schemas.openxmlformats.org/drawingml/2006/chartDrawing">
    <cdr:from>
      <cdr:x>0.682</cdr:x>
      <cdr:y>0.5935</cdr:y>
    </cdr:from>
    <cdr:to>
      <cdr:x>0.87825</cdr:x>
      <cdr:y>0.70475</cdr:y>
    </cdr:to>
    <cdr:sp>
      <cdr:nvSpPr>
        <cdr:cNvPr id="15" name="Text Box 3"/>
        <cdr:cNvSpPr txBox="1">
          <a:spLocks noChangeArrowheads="1"/>
        </cdr:cNvSpPr>
      </cdr:nvSpPr>
      <cdr:spPr>
        <a:xfrm>
          <a:off x="6324600" y="3371850"/>
          <a:ext cx="18192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r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Closed-system calcite dissolution</a:t>
          </a:r>
        </a:p>
      </cdr:txBody>
    </cdr:sp>
  </cdr:relSizeAnchor>
  <cdr:relSizeAnchor xmlns:cdr="http://schemas.openxmlformats.org/drawingml/2006/chartDrawing">
    <cdr:from>
      <cdr:x>0.349</cdr:x>
      <cdr:y>0.5325</cdr:y>
    </cdr:from>
    <cdr:to>
      <cdr:x>0.3535</cdr:x>
      <cdr:y>0.5895</cdr:y>
    </cdr:to>
    <cdr:sp>
      <cdr:nvSpPr>
        <cdr:cNvPr id="16" name="Line 13"/>
        <cdr:cNvSpPr>
          <a:spLocks/>
        </cdr:cNvSpPr>
      </cdr:nvSpPr>
      <cdr:spPr>
        <a:xfrm flipH="1">
          <a:off x="3228975" y="3028950"/>
          <a:ext cx="38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0.63475</cdr:x>
      <cdr:y>0.495</cdr:y>
    </cdr:from>
    <cdr:to>
      <cdr:x>0.64175</cdr:x>
      <cdr:y>0.61875</cdr:y>
    </cdr:to>
    <cdr:sp>
      <cdr:nvSpPr>
        <cdr:cNvPr id="17" name="Line 13"/>
        <cdr:cNvSpPr>
          <a:spLocks/>
        </cdr:cNvSpPr>
      </cdr:nvSpPr>
      <cdr:spPr>
        <a:xfrm flipH="1">
          <a:off x="5886450" y="2819400"/>
          <a:ext cx="666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0.381</cdr:y>
    </cdr:from>
    <cdr:to>
      <cdr:x>0.25625</cdr:x>
      <cdr:y>0.41925</cdr:y>
    </cdr:to>
    <cdr:sp>
      <cdr:nvSpPr>
        <cdr:cNvPr id="18" name="Line 13"/>
        <cdr:cNvSpPr>
          <a:spLocks/>
        </cdr:cNvSpPr>
      </cdr:nvSpPr>
      <cdr:spPr>
        <a:xfrm flipH="1">
          <a:off x="1962150" y="2162175"/>
          <a:ext cx="4095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0.20375</cdr:x>
      <cdr:y>0.27925</cdr:y>
    </cdr:from>
    <cdr:to>
      <cdr:x>0.478</cdr:x>
      <cdr:y>0.56525</cdr:y>
    </cdr:to>
    <cdr:sp>
      <cdr:nvSpPr>
        <cdr:cNvPr id="19" name="Arc 29"/>
        <cdr:cNvSpPr>
          <a:spLocks/>
        </cdr:cNvSpPr>
      </cdr:nvSpPr>
      <cdr:spPr>
        <a:xfrm rot="376644" flipH="1" flipV="1">
          <a:off x="1885950" y="1581150"/>
          <a:ext cx="2543175" cy="1628775"/>
        </a:xfrm>
        <a:custGeom>
          <a:pathLst>
            <a:path stroke="0" h="1600232" w="2514610">
              <a:moveTo>
                <a:pt x="1410199" y="5938"/>
              </a:moveTo>
              <a:lnTo>
                <a:pt x="0" y="0"/>
              </a:lnTo>
              <a:close/>
            </a:path>
            <a:path fill="none" h="1600232" w="2514610">
              <a:moveTo>
                <a:pt x="2514610" y="1600232"/>
              </a:moveTo>
            </a:path>
          </a:pathLst>
        </a:custGeom>
        <a:noFill/>
        <a:ln w="15875" cmpd="sng">
          <a:solidFill>
            <a:srgbClr val="000000"/>
          </a:solidFill>
          <a:prstDash val="dash"/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0.23675</cdr:x>
      <cdr:y>0.43875</cdr:y>
    </cdr:from>
    <cdr:to>
      <cdr:x>0.57925</cdr:x>
      <cdr:y>0.503</cdr:y>
    </cdr:to>
    <cdr:sp>
      <cdr:nvSpPr>
        <cdr:cNvPr id="20" name="Text Box 2"/>
        <cdr:cNvSpPr txBox="1">
          <a:spLocks noChangeArrowheads="1"/>
        </cdr:cNvSpPr>
      </cdr:nvSpPr>
      <cdr:spPr>
        <a:xfrm>
          <a:off x="2190750" y="2495550"/>
          <a:ext cx="3181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36576" bIns="0"/>
        <a:p>
          <a:pPr algn="l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Degassing and equilibration</a:t>
          </a:r>
        </a:p>
      </cdr:txBody>
    </cdr:sp>
  </cdr:relSizeAnchor>
  <cdr:relSizeAnchor xmlns:cdr="http://schemas.openxmlformats.org/drawingml/2006/chartDrawing">
    <cdr:from>
      <cdr:x>0.19825</cdr:x>
      <cdr:y>0.178</cdr:y>
    </cdr:from>
    <cdr:to>
      <cdr:x>0.2045</cdr:x>
      <cdr:y>0.38175</cdr:y>
    </cdr:to>
    <cdr:sp>
      <cdr:nvSpPr>
        <cdr:cNvPr id="21" name="Straight Connector 35"/>
        <cdr:cNvSpPr>
          <a:spLocks/>
        </cdr:cNvSpPr>
      </cdr:nvSpPr>
      <cdr:spPr>
        <a:xfrm rot="16200000" flipV="1">
          <a:off x="1838325" y="1009650"/>
          <a:ext cx="57150" cy="116205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0.24625</cdr:x>
      <cdr:y>0.57525</cdr:y>
    </cdr:from>
    <cdr:to>
      <cdr:x>0.287</cdr:x>
      <cdr:y>0.69725</cdr:y>
    </cdr:to>
    <cdr:sp>
      <cdr:nvSpPr>
        <cdr:cNvPr id="22" name="Line 13"/>
        <cdr:cNvSpPr>
          <a:spLocks/>
        </cdr:cNvSpPr>
      </cdr:nvSpPr>
      <cdr:spPr>
        <a:xfrm>
          <a:off x="2276475" y="3267075"/>
          <a:ext cx="3810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0.32175</cdr:x>
      <cdr:y>0.517</cdr:y>
    </cdr:from>
    <cdr:to>
      <cdr:x>0.335</cdr:x>
      <cdr:y>0.54575</cdr:y>
    </cdr:to>
    <cdr:sp>
      <cdr:nvSpPr>
        <cdr:cNvPr id="23" name="Line 13"/>
        <cdr:cNvSpPr>
          <a:spLocks/>
        </cdr:cNvSpPr>
      </cdr:nvSpPr>
      <cdr:spPr>
        <a:xfrm flipH="1">
          <a:off x="2981325" y="294322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0.349</cdr:x>
      <cdr:y>0.5325</cdr:y>
    </cdr:from>
    <cdr:to>
      <cdr:x>0.3535</cdr:x>
      <cdr:y>0.5895</cdr:y>
    </cdr:to>
    <cdr:sp>
      <cdr:nvSpPr>
        <cdr:cNvPr id="24" name="Line 13"/>
        <cdr:cNvSpPr>
          <a:spLocks/>
        </cdr:cNvSpPr>
      </cdr:nvSpPr>
      <cdr:spPr>
        <a:xfrm flipH="1">
          <a:off x="3228975" y="3028950"/>
          <a:ext cx="38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0.20375</cdr:x>
      <cdr:y>0.27925</cdr:y>
    </cdr:from>
    <cdr:to>
      <cdr:x>0.478</cdr:x>
      <cdr:y>0.56525</cdr:y>
    </cdr:to>
    <cdr:sp>
      <cdr:nvSpPr>
        <cdr:cNvPr id="25" name="Arc 29"/>
        <cdr:cNvSpPr>
          <a:spLocks/>
        </cdr:cNvSpPr>
      </cdr:nvSpPr>
      <cdr:spPr>
        <a:xfrm rot="376644" flipH="1" flipV="1">
          <a:off x="1885950" y="1581150"/>
          <a:ext cx="2543175" cy="1628775"/>
        </a:xfrm>
        <a:custGeom>
          <a:pathLst>
            <a:path stroke="0" h="1600232" w="2514610">
              <a:moveTo>
                <a:pt x="1410199" y="5938"/>
              </a:moveTo>
              <a:lnTo>
                <a:pt x="0" y="0"/>
              </a:lnTo>
              <a:close/>
            </a:path>
            <a:path fill="none" h="1600232" w="2514610">
              <a:moveTo>
                <a:pt x="2514610" y="1600232"/>
              </a:moveTo>
            </a:path>
          </a:pathLst>
        </a:custGeom>
        <a:noFill/>
        <a:ln w="15875" cmpd="sng">
          <a:solidFill>
            <a:srgbClr val="000000"/>
          </a:solidFill>
          <a:prstDash val="dash"/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0.32175</cdr:x>
      <cdr:y>0.517</cdr:y>
    </cdr:from>
    <cdr:to>
      <cdr:x>0.335</cdr:x>
      <cdr:y>0.54575</cdr:y>
    </cdr:to>
    <cdr:sp>
      <cdr:nvSpPr>
        <cdr:cNvPr id="26" name="Line 13"/>
        <cdr:cNvSpPr>
          <a:spLocks/>
        </cdr:cNvSpPr>
      </cdr:nvSpPr>
      <cdr:spPr>
        <a:xfrm flipH="1">
          <a:off x="2981325" y="294322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0.349</cdr:x>
      <cdr:y>0.5325</cdr:y>
    </cdr:from>
    <cdr:to>
      <cdr:x>0.3535</cdr:x>
      <cdr:y>0.5895</cdr:y>
    </cdr:to>
    <cdr:sp>
      <cdr:nvSpPr>
        <cdr:cNvPr id="27" name="Line 13"/>
        <cdr:cNvSpPr>
          <a:spLocks/>
        </cdr:cNvSpPr>
      </cdr:nvSpPr>
      <cdr:spPr>
        <a:xfrm flipH="1">
          <a:off x="3228975" y="3028950"/>
          <a:ext cx="38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0.20375</cdr:x>
      <cdr:y>0.27925</cdr:y>
    </cdr:from>
    <cdr:to>
      <cdr:x>0.478</cdr:x>
      <cdr:y>0.56525</cdr:y>
    </cdr:to>
    <cdr:sp>
      <cdr:nvSpPr>
        <cdr:cNvPr id="28" name="Arc 29"/>
        <cdr:cNvSpPr>
          <a:spLocks/>
        </cdr:cNvSpPr>
      </cdr:nvSpPr>
      <cdr:spPr>
        <a:xfrm rot="376644" flipH="1" flipV="1">
          <a:off x="1885950" y="1581150"/>
          <a:ext cx="2543175" cy="1628775"/>
        </a:xfrm>
        <a:custGeom>
          <a:pathLst>
            <a:path stroke="0" h="1600232" w="2514610">
              <a:moveTo>
                <a:pt x="1410199" y="5938"/>
              </a:moveTo>
              <a:lnTo>
                <a:pt x="0" y="0"/>
              </a:lnTo>
              <a:close/>
            </a:path>
            <a:path fill="none" h="1600232" w="2514610">
              <a:moveTo>
                <a:pt x="2514610" y="1600232"/>
              </a:moveTo>
            </a:path>
          </a:pathLst>
        </a:custGeom>
        <a:noFill/>
        <a:ln w="15875" cmpd="sng">
          <a:solidFill>
            <a:srgbClr val="000000"/>
          </a:solidFill>
          <a:prstDash val="dash"/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0.20375</cdr:x>
      <cdr:y>0.27925</cdr:y>
    </cdr:from>
    <cdr:to>
      <cdr:x>0.478</cdr:x>
      <cdr:y>0.56525</cdr:y>
    </cdr:to>
    <cdr:sp>
      <cdr:nvSpPr>
        <cdr:cNvPr id="29" name="Arc 29"/>
        <cdr:cNvSpPr>
          <a:spLocks/>
        </cdr:cNvSpPr>
      </cdr:nvSpPr>
      <cdr:spPr>
        <a:xfrm rot="376644" flipH="1" flipV="1">
          <a:off x="1885950" y="1581150"/>
          <a:ext cx="2543175" cy="1628775"/>
        </a:xfrm>
        <a:custGeom>
          <a:pathLst>
            <a:path stroke="0" h="1600232" w="2514610">
              <a:moveTo>
                <a:pt x="1410199" y="5938"/>
              </a:moveTo>
              <a:lnTo>
                <a:pt x="0" y="0"/>
              </a:lnTo>
              <a:close/>
            </a:path>
            <a:path fill="none" h="1600232" w="2514610">
              <a:moveTo>
                <a:pt x="2514610" y="1600232"/>
              </a:moveTo>
            </a:path>
          </a:pathLst>
        </a:custGeom>
        <a:noFill/>
        <a:ln w="15875" cmpd="sng">
          <a:solidFill>
            <a:srgbClr val="000000"/>
          </a:solidFill>
          <a:prstDash val="dash"/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0.213</cdr:x>
      <cdr:y>0.24375</cdr:y>
    </cdr:from>
    <cdr:to>
      <cdr:x>0.556</cdr:x>
      <cdr:y>0.30875</cdr:y>
    </cdr:to>
    <cdr:sp>
      <cdr:nvSpPr>
        <cdr:cNvPr id="30" name="Text Box 2"/>
        <cdr:cNvSpPr txBox="1">
          <a:spLocks noChangeArrowheads="1"/>
        </cdr:cNvSpPr>
      </cdr:nvSpPr>
      <cdr:spPr>
        <a:xfrm>
          <a:off x="1971675" y="1381125"/>
          <a:ext cx="3181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36576" bIns="0"/>
        <a:p>
          <a:pPr algn="l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Equilibration and calcite precipitation </a:t>
          </a:r>
        </a:p>
      </cdr:txBody>
    </cdr:sp>
  </cdr:relSizeAnchor>
  <cdr:relSizeAnchor xmlns:cdr="http://schemas.openxmlformats.org/drawingml/2006/chartDrawing">
    <cdr:from>
      <cdr:x>0.287</cdr:x>
      <cdr:y>0.806</cdr:y>
    </cdr:from>
    <cdr:to>
      <cdr:x>0.45875</cdr:x>
      <cdr:y>0.8725</cdr:y>
    </cdr:to>
    <cdr:sp>
      <cdr:nvSpPr>
        <cdr:cNvPr id="31" name="TextBox 96"/>
        <cdr:cNvSpPr txBox="1">
          <a:spLocks noChangeArrowheads="1"/>
        </cdr:cNvSpPr>
      </cdr:nvSpPr>
      <cdr:spPr>
        <a:xfrm>
          <a:off x="2657475" y="4581525"/>
          <a:ext cx="15906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atm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95950"/>
    <xdr:graphicFrame>
      <xdr:nvGraphicFramePr>
        <xdr:cNvPr id="1" name="Shape 1025"/>
        <xdr:cNvGraphicFramePr/>
      </xdr:nvGraphicFramePr>
      <xdr:xfrm>
        <a:off x="0" y="19050"/>
        <a:ext cx="92773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0.75725</cdr:x>
      <cdr:y>0.81325</cdr:y>
    </cdr:from>
    <cdr:to>
      <cdr:x>0.97475</cdr:x>
      <cdr:y>0.931</cdr:y>
    </cdr:to>
    <cdr:sp>
      <cdr:nvSpPr>
        <cdr:cNvPr id="1" name="Text Box 1"/>
        <cdr:cNvSpPr txBox="1">
          <a:spLocks noChangeArrowheads="1"/>
        </cdr:cNvSpPr>
      </cdr:nvSpPr>
      <cdr:spPr>
        <a:xfrm>
          <a:off x="7019925" y="4629150"/>
          <a:ext cx="20193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Initial soil</a:t>
          </a:r>
        </a:p>
      </cdr:txBody>
    </cdr:sp>
  </cdr:relSizeAnchor>
  <cdr:relSizeAnchor xmlns:cdr="http://schemas.openxmlformats.org/drawingml/2006/chartDrawing">
    <cdr:from>
      <cdr:x>0.24825</cdr:x>
      <cdr:y>0.714</cdr:y>
    </cdr:from>
    <cdr:to>
      <cdr:x>0.50075</cdr:x>
      <cdr:y>0.7715</cdr:y>
    </cdr:to>
    <cdr:sp>
      <cdr:nvSpPr>
        <cdr:cNvPr id="2" name="Text Box 2"/>
        <cdr:cNvSpPr txBox="1">
          <a:spLocks noChangeArrowheads="1"/>
        </cdr:cNvSpPr>
      </cdr:nvSpPr>
      <cdr:spPr>
        <a:xfrm>
          <a:off x="2295525" y="4057650"/>
          <a:ext cx="2343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36576" bIns="0"/>
        <a:p>
          <a:pPr algn="r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Equilibrium degassing </a:t>
          </a:r>
        </a:p>
      </cdr:txBody>
    </cdr:sp>
  </cdr:relSizeAnchor>
  <cdr:relSizeAnchor xmlns:cdr="http://schemas.openxmlformats.org/drawingml/2006/chartDrawing">
    <cdr:from>
      <cdr:x>0.33425</cdr:x>
      <cdr:y>0.5745</cdr:y>
    </cdr:from>
    <cdr:to>
      <cdr:x>0.44875</cdr:x>
      <cdr:y>0.6295</cdr:y>
    </cdr:to>
    <cdr:sp>
      <cdr:nvSpPr>
        <cdr:cNvPr id="3" name="Text Box 3"/>
        <cdr:cNvSpPr txBox="1">
          <a:spLocks noChangeArrowheads="1"/>
        </cdr:cNvSpPr>
      </cdr:nvSpPr>
      <cdr:spPr>
        <a:xfrm>
          <a:off x="3095625" y="3267075"/>
          <a:ext cx="1066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Dripwaters</a:t>
          </a:r>
        </a:p>
      </cdr:txBody>
    </cdr:sp>
  </cdr:relSizeAnchor>
  <cdr:relSizeAnchor xmlns:cdr="http://schemas.openxmlformats.org/drawingml/2006/chartDrawing">
    <cdr:from>
      <cdr:x>0.25425</cdr:x>
      <cdr:y>0.4345</cdr:y>
    </cdr:from>
    <cdr:to>
      <cdr:x>0.47525</cdr:x>
      <cdr:y>0.52975</cdr:y>
    </cdr:to>
    <cdr:sp>
      <cdr:nvSpPr>
        <cdr:cNvPr id="4" name="Text Box 10"/>
        <cdr:cNvSpPr txBox="1">
          <a:spLocks noChangeArrowheads="1"/>
        </cdr:cNvSpPr>
      </cdr:nvSpPr>
      <cdr:spPr>
        <a:xfrm>
          <a:off x="2352675" y="2466975"/>
          <a:ext cx="20478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Stalagmites ER76/ER77</a:t>
          </a:r>
        </a:p>
      </cdr:txBody>
    </cdr:sp>
  </cdr:relSizeAnchor>
  <cdr:relSizeAnchor xmlns:cdr="http://schemas.openxmlformats.org/drawingml/2006/chartDrawing">
    <cdr:from>
      <cdr:x>0.2095</cdr:x>
      <cdr:y>0.466</cdr:y>
    </cdr:from>
    <cdr:to>
      <cdr:x>0.25675</cdr:x>
      <cdr:y>0.4875</cdr:y>
    </cdr:to>
    <cdr:sp>
      <cdr:nvSpPr>
        <cdr:cNvPr id="5" name="Line 13"/>
        <cdr:cNvSpPr>
          <a:spLocks/>
        </cdr:cNvSpPr>
      </cdr:nvSpPr>
      <cdr:spPr>
        <a:xfrm flipH="1">
          <a:off x="1943100" y="2647950"/>
          <a:ext cx="4381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0.245</cdr:x>
      <cdr:y>0.665</cdr:y>
    </cdr:from>
    <cdr:to>
      <cdr:x>0.286</cdr:x>
      <cdr:y>0.78775</cdr:y>
    </cdr:to>
    <cdr:sp>
      <cdr:nvSpPr>
        <cdr:cNvPr id="6" name="Line 13"/>
        <cdr:cNvSpPr>
          <a:spLocks/>
        </cdr:cNvSpPr>
      </cdr:nvSpPr>
      <cdr:spPr>
        <a:xfrm>
          <a:off x="2266950" y="3781425"/>
          <a:ext cx="3810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0.321</cdr:x>
      <cdr:y>0.6075</cdr:y>
    </cdr:from>
    <cdr:to>
      <cdr:x>0.33425</cdr:x>
      <cdr:y>0.63625</cdr:y>
    </cdr:to>
    <cdr:sp>
      <cdr:nvSpPr>
        <cdr:cNvPr id="7" name="Line 13"/>
        <cdr:cNvSpPr>
          <a:spLocks/>
        </cdr:cNvSpPr>
      </cdr:nvSpPr>
      <cdr:spPr>
        <a:xfrm flipH="1">
          <a:off x="2971800" y="345757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0.12725</cdr:x>
      <cdr:y>0.77975</cdr:y>
    </cdr:from>
    <cdr:to>
      <cdr:x>0.2095</cdr:x>
      <cdr:y>0.89175</cdr:y>
    </cdr:to>
    <cdr:sp>
      <cdr:nvSpPr>
        <cdr:cNvPr id="8" name="Text Box 3"/>
        <cdr:cNvSpPr txBox="1">
          <a:spLocks noChangeArrowheads="1"/>
        </cdr:cNvSpPr>
      </cdr:nvSpPr>
      <cdr:spPr>
        <a:xfrm>
          <a:off x="1171575" y="4438650"/>
          <a:ext cx="7620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Cave air, winter</a:t>
          </a:r>
        </a:p>
      </cdr:txBody>
    </cdr:sp>
  </cdr:relSizeAnchor>
  <cdr:relSizeAnchor xmlns:cdr="http://schemas.openxmlformats.org/drawingml/2006/chartDrawing">
    <cdr:from>
      <cdr:x>0.17525</cdr:x>
      <cdr:y>0.74075</cdr:y>
    </cdr:from>
    <cdr:to>
      <cdr:x>0.1915</cdr:x>
      <cdr:y>0.78775</cdr:y>
    </cdr:to>
    <cdr:sp>
      <cdr:nvSpPr>
        <cdr:cNvPr id="9" name="Line 13"/>
        <cdr:cNvSpPr>
          <a:spLocks/>
        </cdr:cNvSpPr>
      </cdr:nvSpPr>
      <cdr:spPr>
        <a:xfrm flipV="1">
          <a:off x="1619250" y="4210050"/>
          <a:ext cx="152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0.20325</cdr:x>
      <cdr:y>0.2395</cdr:y>
    </cdr:from>
    <cdr:to>
      <cdr:x>0.2435</cdr:x>
      <cdr:y>0.245</cdr:y>
    </cdr:to>
    <cdr:sp>
      <cdr:nvSpPr>
        <cdr:cNvPr id="10" name="Line 13"/>
        <cdr:cNvSpPr>
          <a:spLocks/>
        </cdr:cNvSpPr>
      </cdr:nvSpPr>
      <cdr:spPr>
        <a:xfrm flipH="1">
          <a:off x="1876425" y="1362075"/>
          <a:ext cx="3714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0.2435</cdr:x>
      <cdr:y>0.2175</cdr:y>
    </cdr:from>
    <cdr:to>
      <cdr:x>0.75425</cdr:x>
      <cdr:y>0.26375</cdr:y>
    </cdr:to>
    <cdr:sp>
      <cdr:nvSpPr>
        <cdr:cNvPr id="11" name="Text Box 10"/>
        <cdr:cNvSpPr txBox="1">
          <a:spLocks noChangeArrowheads="1"/>
        </cdr:cNvSpPr>
      </cdr:nvSpPr>
      <cdr:spPr>
        <a:xfrm>
          <a:off x="2257425" y="1238250"/>
          <a:ext cx="4733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Theoretical water equilibrated with cave air</a:t>
          </a:r>
        </a:p>
      </cdr:txBody>
    </cdr:sp>
  </cdr:relSizeAnchor>
  <cdr:relSizeAnchor xmlns:cdr="http://schemas.openxmlformats.org/drawingml/2006/chartDrawing">
    <cdr:from>
      <cdr:x>0.56275</cdr:x>
      <cdr:y>0.537</cdr:y>
    </cdr:from>
    <cdr:to>
      <cdr:x>0.906</cdr:x>
      <cdr:y>0.64825</cdr:y>
    </cdr:to>
    <cdr:sp>
      <cdr:nvSpPr>
        <cdr:cNvPr id="12" name="Text Box 3"/>
        <cdr:cNvSpPr txBox="1">
          <a:spLocks noChangeArrowheads="1"/>
        </cdr:cNvSpPr>
      </cdr:nvSpPr>
      <cdr:spPr>
        <a:xfrm>
          <a:off x="5219700" y="3057525"/>
          <a:ext cx="31813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Modelled regolith water</a:t>
          </a:r>
        </a:p>
      </cdr:txBody>
    </cdr:sp>
  </cdr:relSizeAnchor>
  <cdr:relSizeAnchor xmlns:cdr="http://schemas.openxmlformats.org/drawingml/2006/chartDrawing">
    <cdr:from>
      <cdr:x>0.40775</cdr:x>
      <cdr:y>0.62425</cdr:y>
    </cdr:from>
    <cdr:to>
      <cdr:x>0.603</cdr:x>
      <cdr:y>0.6885</cdr:y>
    </cdr:to>
    <cdr:sp>
      <cdr:nvSpPr>
        <cdr:cNvPr id="13" name="Text Box 2"/>
        <cdr:cNvSpPr txBox="1">
          <a:spLocks noChangeArrowheads="1"/>
        </cdr:cNvSpPr>
      </cdr:nvSpPr>
      <cdr:spPr>
        <a:xfrm>
          <a:off x="3781425" y="3552825"/>
          <a:ext cx="18097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36576" bIns="0"/>
        <a:p>
          <a:pPr algn="r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Kinetically enhanced degassing</a:t>
          </a:r>
        </a:p>
      </cdr:txBody>
    </cdr:sp>
  </cdr:relSizeAnchor>
  <cdr:relSizeAnchor xmlns:cdr="http://schemas.openxmlformats.org/drawingml/2006/chartDrawing">
    <cdr:from>
      <cdr:x>0.28225</cdr:x>
      <cdr:y>0.76825</cdr:y>
    </cdr:from>
    <cdr:to>
      <cdr:x>0.52325</cdr:x>
      <cdr:y>0.87925</cdr:y>
    </cdr:to>
    <cdr:sp>
      <cdr:nvSpPr>
        <cdr:cNvPr id="14" name="Text Box 3"/>
        <cdr:cNvSpPr txBox="1">
          <a:spLocks noChangeArrowheads="1"/>
        </cdr:cNvSpPr>
      </cdr:nvSpPr>
      <cdr:spPr>
        <a:xfrm>
          <a:off x="2609850" y="4371975"/>
          <a:ext cx="22383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Continued  kinetic degassing of G1 fast drip</a:t>
          </a:r>
        </a:p>
      </cdr:txBody>
    </cdr:sp>
  </cdr:relSizeAnchor>
  <cdr:relSizeAnchor xmlns:cdr="http://schemas.openxmlformats.org/drawingml/2006/chartDrawing">
    <cdr:from>
      <cdr:x>0.68375</cdr:x>
      <cdr:y>0.68375</cdr:y>
    </cdr:from>
    <cdr:to>
      <cdr:x>0.8805</cdr:x>
      <cdr:y>0.795</cdr:y>
    </cdr:to>
    <cdr:sp>
      <cdr:nvSpPr>
        <cdr:cNvPr id="15" name="Text Box 3"/>
        <cdr:cNvSpPr txBox="1">
          <a:spLocks noChangeArrowheads="1"/>
        </cdr:cNvSpPr>
      </cdr:nvSpPr>
      <cdr:spPr>
        <a:xfrm>
          <a:off x="6334125" y="3886200"/>
          <a:ext cx="18288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r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Closed-system calcite dissolution</a:t>
          </a:r>
        </a:p>
      </cdr:txBody>
    </cdr:sp>
  </cdr:relSizeAnchor>
  <cdr:relSizeAnchor xmlns:cdr="http://schemas.openxmlformats.org/drawingml/2006/chartDrawing">
    <cdr:from>
      <cdr:x>0.348</cdr:x>
      <cdr:y>0.62225</cdr:y>
    </cdr:from>
    <cdr:to>
      <cdr:x>0.3535</cdr:x>
      <cdr:y>0.67975</cdr:y>
    </cdr:to>
    <cdr:sp>
      <cdr:nvSpPr>
        <cdr:cNvPr id="16" name="Line 13"/>
        <cdr:cNvSpPr>
          <a:spLocks/>
        </cdr:cNvSpPr>
      </cdr:nvSpPr>
      <cdr:spPr>
        <a:xfrm flipH="1">
          <a:off x="3219450" y="3543300"/>
          <a:ext cx="47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0.63575</cdr:x>
      <cdr:y>0.58525</cdr:y>
    </cdr:from>
    <cdr:to>
      <cdr:x>0.6435</cdr:x>
      <cdr:y>0.70925</cdr:y>
    </cdr:to>
    <cdr:sp>
      <cdr:nvSpPr>
        <cdr:cNvPr id="17" name="Line 13"/>
        <cdr:cNvSpPr>
          <a:spLocks/>
        </cdr:cNvSpPr>
      </cdr:nvSpPr>
      <cdr:spPr>
        <a:xfrm flipH="1">
          <a:off x="5895975" y="3324225"/>
          <a:ext cx="762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0.21025</cdr:x>
      <cdr:y>0.4715</cdr:y>
    </cdr:from>
    <cdr:to>
      <cdr:x>0.25425</cdr:x>
      <cdr:y>0.5095</cdr:y>
    </cdr:to>
    <cdr:sp>
      <cdr:nvSpPr>
        <cdr:cNvPr id="18" name="Line 13"/>
        <cdr:cNvSpPr>
          <a:spLocks/>
        </cdr:cNvSpPr>
      </cdr:nvSpPr>
      <cdr:spPr>
        <a:xfrm flipH="1">
          <a:off x="1943100" y="2676525"/>
          <a:ext cx="4095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0.20325</cdr:x>
      <cdr:y>0.369</cdr:y>
    </cdr:from>
    <cdr:to>
      <cdr:x>0.47825</cdr:x>
      <cdr:y>0.655</cdr:y>
    </cdr:to>
    <cdr:sp>
      <cdr:nvSpPr>
        <cdr:cNvPr id="19" name="Arc 29"/>
        <cdr:cNvSpPr>
          <a:spLocks/>
        </cdr:cNvSpPr>
      </cdr:nvSpPr>
      <cdr:spPr>
        <a:xfrm rot="376644" flipH="1" flipV="1">
          <a:off x="1876425" y="2095500"/>
          <a:ext cx="2552700" cy="1628775"/>
        </a:xfrm>
        <a:custGeom>
          <a:pathLst>
            <a:path stroke="0" h="1600200" w="2517214">
              <a:moveTo>
                <a:pt x="1411501" y="5925"/>
              </a:moveTo>
              <a:lnTo>
                <a:pt x="0" y="0"/>
              </a:lnTo>
              <a:close/>
            </a:path>
            <a:path fill="none" h="1600200" w="2517214">
              <a:moveTo>
                <a:pt x="2517214" y="1600200"/>
              </a:moveTo>
            </a:path>
          </a:pathLst>
        </a:custGeom>
        <a:noFill/>
        <a:ln w="15875" cmpd="sng">
          <a:solidFill>
            <a:srgbClr val="000000"/>
          </a:solidFill>
          <a:prstDash val="dash"/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0.23575</cdr:x>
      <cdr:y>0.529</cdr:y>
    </cdr:from>
    <cdr:to>
      <cdr:x>0.57975</cdr:x>
      <cdr:y>0.59325</cdr:y>
    </cdr:to>
    <cdr:sp>
      <cdr:nvSpPr>
        <cdr:cNvPr id="20" name="Text Box 2"/>
        <cdr:cNvSpPr txBox="1">
          <a:spLocks noChangeArrowheads="1"/>
        </cdr:cNvSpPr>
      </cdr:nvSpPr>
      <cdr:spPr>
        <a:xfrm>
          <a:off x="2181225" y="3009900"/>
          <a:ext cx="3190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36576" bIns="0"/>
        <a:p>
          <a:pPr algn="l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Degassing and equilibration</a:t>
          </a:r>
        </a:p>
      </cdr:txBody>
    </cdr:sp>
  </cdr:relSizeAnchor>
  <cdr:relSizeAnchor xmlns:cdr="http://schemas.openxmlformats.org/drawingml/2006/chartDrawing">
    <cdr:from>
      <cdr:x>0.19775</cdr:x>
      <cdr:y>0.26775</cdr:y>
    </cdr:from>
    <cdr:to>
      <cdr:x>0.20325</cdr:x>
      <cdr:y>0.472</cdr:y>
    </cdr:to>
    <cdr:sp>
      <cdr:nvSpPr>
        <cdr:cNvPr id="21" name="Straight Connector 35"/>
        <cdr:cNvSpPr>
          <a:spLocks/>
        </cdr:cNvSpPr>
      </cdr:nvSpPr>
      <cdr:spPr>
        <a:xfrm rot="16200000" flipV="1">
          <a:off x="1828800" y="1524000"/>
          <a:ext cx="47625" cy="116205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0.245</cdr:x>
      <cdr:y>0.665</cdr:y>
    </cdr:from>
    <cdr:to>
      <cdr:x>0.286</cdr:x>
      <cdr:y>0.78775</cdr:y>
    </cdr:to>
    <cdr:sp>
      <cdr:nvSpPr>
        <cdr:cNvPr id="22" name="Line 13"/>
        <cdr:cNvSpPr>
          <a:spLocks/>
        </cdr:cNvSpPr>
      </cdr:nvSpPr>
      <cdr:spPr>
        <a:xfrm>
          <a:off x="2266950" y="3781425"/>
          <a:ext cx="3810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0.321</cdr:x>
      <cdr:y>0.6075</cdr:y>
    </cdr:from>
    <cdr:to>
      <cdr:x>0.33425</cdr:x>
      <cdr:y>0.63625</cdr:y>
    </cdr:to>
    <cdr:sp>
      <cdr:nvSpPr>
        <cdr:cNvPr id="23" name="Line 13"/>
        <cdr:cNvSpPr>
          <a:spLocks/>
        </cdr:cNvSpPr>
      </cdr:nvSpPr>
      <cdr:spPr>
        <a:xfrm flipH="1">
          <a:off x="2971800" y="345757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0.348</cdr:x>
      <cdr:y>0.62225</cdr:y>
    </cdr:from>
    <cdr:to>
      <cdr:x>0.3535</cdr:x>
      <cdr:y>0.67975</cdr:y>
    </cdr:to>
    <cdr:sp>
      <cdr:nvSpPr>
        <cdr:cNvPr id="24" name="Line 13"/>
        <cdr:cNvSpPr>
          <a:spLocks/>
        </cdr:cNvSpPr>
      </cdr:nvSpPr>
      <cdr:spPr>
        <a:xfrm flipH="1">
          <a:off x="3219450" y="3543300"/>
          <a:ext cx="47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0.20325</cdr:x>
      <cdr:y>0.369</cdr:y>
    </cdr:from>
    <cdr:to>
      <cdr:x>0.47825</cdr:x>
      <cdr:y>0.655</cdr:y>
    </cdr:to>
    <cdr:sp>
      <cdr:nvSpPr>
        <cdr:cNvPr id="25" name="Arc 29"/>
        <cdr:cNvSpPr>
          <a:spLocks/>
        </cdr:cNvSpPr>
      </cdr:nvSpPr>
      <cdr:spPr>
        <a:xfrm rot="376644" flipH="1" flipV="1">
          <a:off x="1876425" y="2095500"/>
          <a:ext cx="2552700" cy="1628775"/>
        </a:xfrm>
        <a:custGeom>
          <a:pathLst>
            <a:path stroke="0" h="1600200" w="2517214">
              <a:moveTo>
                <a:pt x="1411501" y="5925"/>
              </a:moveTo>
              <a:lnTo>
                <a:pt x="0" y="0"/>
              </a:lnTo>
              <a:close/>
            </a:path>
            <a:path fill="none" h="1600200" w="2517214">
              <a:moveTo>
                <a:pt x="2517214" y="1600200"/>
              </a:moveTo>
            </a:path>
          </a:pathLst>
        </a:custGeom>
        <a:noFill/>
        <a:ln w="15875" cmpd="sng">
          <a:solidFill>
            <a:srgbClr val="000000"/>
          </a:solidFill>
          <a:prstDash val="dash"/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0.321</cdr:x>
      <cdr:y>0.6075</cdr:y>
    </cdr:from>
    <cdr:to>
      <cdr:x>0.33425</cdr:x>
      <cdr:y>0.63625</cdr:y>
    </cdr:to>
    <cdr:sp>
      <cdr:nvSpPr>
        <cdr:cNvPr id="26" name="Line 13"/>
        <cdr:cNvSpPr>
          <a:spLocks/>
        </cdr:cNvSpPr>
      </cdr:nvSpPr>
      <cdr:spPr>
        <a:xfrm flipH="1">
          <a:off x="2971800" y="345757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0.348</cdr:x>
      <cdr:y>0.62225</cdr:y>
    </cdr:from>
    <cdr:to>
      <cdr:x>0.3535</cdr:x>
      <cdr:y>0.67975</cdr:y>
    </cdr:to>
    <cdr:sp>
      <cdr:nvSpPr>
        <cdr:cNvPr id="27" name="Line 13"/>
        <cdr:cNvSpPr>
          <a:spLocks/>
        </cdr:cNvSpPr>
      </cdr:nvSpPr>
      <cdr:spPr>
        <a:xfrm flipH="1">
          <a:off x="3219450" y="3543300"/>
          <a:ext cx="47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0.20325</cdr:x>
      <cdr:y>0.369</cdr:y>
    </cdr:from>
    <cdr:to>
      <cdr:x>0.47825</cdr:x>
      <cdr:y>0.655</cdr:y>
    </cdr:to>
    <cdr:sp>
      <cdr:nvSpPr>
        <cdr:cNvPr id="28" name="Arc 29"/>
        <cdr:cNvSpPr>
          <a:spLocks/>
        </cdr:cNvSpPr>
      </cdr:nvSpPr>
      <cdr:spPr>
        <a:xfrm rot="376644" flipH="1" flipV="1">
          <a:off x="1876425" y="2095500"/>
          <a:ext cx="2552700" cy="1628775"/>
        </a:xfrm>
        <a:custGeom>
          <a:pathLst>
            <a:path stroke="0" h="1600200" w="2517214">
              <a:moveTo>
                <a:pt x="1411501" y="5925"/>
              </a:moveTo>
              <a:lnTo>
                <a:pt x="0" y="0"/>
              </a:lnTo>
              <a:close/>
            </a:path>
            <a:path fill="none" h="1600200" w="2517214">
              <a:moveTo>
                <a:pt x="2517214" y="1600200"/>
              </a:moveTo>
            </a:path>
          </a:pathLst>
        </a:custGeom>
        <a:noFill/>
        <a:ln w="15875" cmpd="sng">
          <a:solidFill>
            <a:srgbClr val="000000"/>
          </a:solidFill>
          <a:prstDash val="dash"/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0.20325</cdr:x>
      <cdr:y>0.369</cdr:y>
    </cdr:from>
    <cdr:to>
      <cdr:x>0.47825</cdr:x>
      <cdr:y>0.655</cdr:y>
    </cdr:to>
    <cdr:sp>
      <cdr:nvSpPr>
        <cdr:cNvPr id="29" name="Arc 29"/>
        <cdr:cNvSpPr>
          <a:spLocks/>
        </cdr:cNvSpPr>
      </cdr:nvSpPr>
      <cdr:spPr>
        <a:xfrm rot="376644" flipH="1" flipV="1">
          <a:off x="1876425" y="2095500"/>
          <a:ext cx="2552700" cy="1628775"/>
        </a:xfrm>
        <a:custGeom>
          <a:pathLst>
            <a:path stroke="0" h="1600200" w="2517214">
              <a:moveTo>
                <a:pt x="1411501" y="5925"/>
              </a:moveTo>
              <a:lnTo>
                <a:pt x="0" y="0"/>
              </a:lnTo>
              <a:close/>
            </a:path>
            <a:path fill="none" h="1600200" w="2517214">
              <a:moveTo>
                <a:pt x="2517214" y="1600200"/>
              </a:moveTo>
            </a:path>
          </a:pathLst>
        </a:custGeom>
        <a:noFill/>
        <a:ln w="15875" cmpd="sng">
          <a:solidFill>
            <a:srgbClr val="000000"/>
          </a:solidFill>
          <a:prstDash val="dash"/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0.21175</cdr:x>
      <cdr:y>0.334</cdr:y>
    </cdr:from>
    <cdr:to>
      <cdr:x>0.5565</cdr:x>
      <cdr:y>0.399</cdr:y>
    </cdr:to>
    <cdr:sp>
      <cdr:nvSpPr>
        <cdr:cNvPr id="30" name="Text Box 2"/>
        <cdr:cNvSpPr txBox="1">
          <a:spLocks noChangeArrowheads="1"/>
        </cdr:cNvSpPr>
      </cdr:nvSpPr>
      <cdr:spPr>
        <a:xfrm>
          <a:off x="1962150" y="1895475"/>
          <a:ext cx="3200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36576" bIns="0"/>
        <a:p>
          <a:pPr algn="l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Equilibration and calcite precipitation </a:t>
          </a:r>
        </a:p>
      </cdr:txBody>
    </cdr:sp>
  </cdr:relSizeAnchor>
  <cdr:relSizeAnchor xmlns:cdr="http://schemas.openxmlformats.org/drawingml/2006/chartDrawing">
    <cdr:from>
      <cdr:x>0.286</cdr:x>
      <cdr:y>0.90625</cdr:y>
    </cdr:from>
    <cdr:to>
      <cdr:x>0.459</cdr:x>
      <cdr:y>0.9725</cdr:y>
    </cdr:to>
    <cdr:sp>
      <cdr:nvSpPr>
        <cdr:cNvPr id="31" name="TextBox 96"/>
        <cdr:cNvSpPr txBox="1">
          <a:spLocks noChangeArrowheads="1"/>
        </cdr:cNvSpPr>
      </cdr:nvSpPr>
      <cdr:spPr>
        <a:xfrm>
          <a:off x="2647950" y="5153025"/>
          <a:ext cx="16097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pCO</a:t>
          </a:r>
          <a:r>
            <a:rPr lang="en-US" cap="none" sz="1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atm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95950"/>
    <xdr:graphicFrame>
      <xdr:nvGraphicFramePr>
        <xdr:cNvPr id="1" name="Shape 1025"/>
        <xdr:cNvGraphicFramePr/>
      </xdr:nvGraphicFramePr>
      <xdr:xfrm>
        <a:off x="0" y="0"/>
        <a:ext cx="92773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</xdr:colOff>
      <xdr:row>4</xdr:row>
      <xdr:rowOff>0</xdr:rowOff>
    </xdr:from>
    <xdr:to>
      <xdr:col>23</xdr:col>
      <xdr:colOff>85725</xdr:colOff>
      <xdr:row>4</xdr:row>
      <xdr:rowOff>0</xdr:rowOff>
    </xdr:to>
    <xdr:sp>
      <xdr:nvSpPr>
        <xdr:cNvPr id="1" name="Oval 1"/>
        <xdr:cNvSpPr>
          <a:spLocks/>
        </xdr:cNvSpPr>
      </xdr:nvSpPr>
      <xdr:spPr>
        <a:xfrm>
          <a:off x="15830550" y="714375"/>
          <a:ext cx="676275" cy="0"/>
        </a:xfrm>
        <a:prstGeom prst="ellipse">
          <a:avLst/>
        </a:prstGeom>
        <a:pattFill prst="smCheck">
          <a:fgClr>
            <a:srgbClr val="000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304800</xdr:colOff>
      <xdr:row>4</xdr:row>
      <xdr:rowOff>0</xdr:rowOff>
    </xdr:from>
    <xdr:to>
      <xdr:col>22</xdr:col>
      <xdr:colOff>247650</xdr:colOff>
      <xdr:row>4</xdr:row>
      <xdr:rowOff>0</xdr:rowOff>
    </xdr:to>
    <xdr:sp>
      <xdr:nvSpPr>
        <xdr:cNvPr id="2" name="Oval 2"/>
        <xdr:cNvSpPr>
          <a:spLocks/>
        </xdr:cNvSpPr>
      </xdr:nvSpPr>
      <xdr:spPr>
        <a:xfrm>
          <a:off x="15506700" y="714375"/>
          <a:ext cx="552450" cy="0"/>
        </a:xfrm>
        <a:prstGeom prst="ellipse">
          <a:avLst/>
        </a:prstGeom>
        <a:pattFill prst="ltHorz">
          <a:fgClr>
            <a:srgbClr val="FF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bo\My%20Documents\caves\anna\IJFcfra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cros\Deleter%20macr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lRoz1990"/>
      <sheetName val="Chart1"/>
      <sheetName val="Chart1 (2)"/>
      <sheetName val="Bar-Matthews 1996   overall"/>
      <sheetName val="Bar-Matthews 1996 Co2 degassing"/>
      <sheetName val="Crag cf Bar-Matthews"/>
      <sheetName val="Dulinski input to Bar-Matthews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7"/>
  <sheetViews>
    <sheetView zoomScalePageLayoutView="0" workbookViewId="0" topLeftCell="B1">
      <pane xSplit="9000" topLeftCell="P1" activePane="topRight" state="split"/>
      <selection pane="topLeft" activeCell="Q16" sqref="Q16"/>
      <selection pane="topRight" activeCell="U14" sqref="U14"/>
    </sheetView>
  </sheetViews>
  <sheetFormatPr defaultColWidth="9.140625" defaultRowHeight="15"/>
  <cols>
    <col min="1" max="1" width="61.00390625" style="2" customWidth="1"/>
    <col min="2" max="2" width="8.8515625" style="2" customWidth="1"/>
    <col min="3" max="5" width="9.140625" style="2" customWidth="1"/>
    <col min="6" max="6" width="9.140625" style="4" customWidth="1"/>
    <col min="7" max="11" width="9.140625" style="2" customWidth="1"/>
    <col min="12" max="12" width="9.7109375" style="2" customWidth="1"/>
    <col min="13" max="13" width="9.140625" style="61" customWidth="1"/>
    <col min="14" max="14" width="11.28125" style="4" customWidth="1"/>
    <col min="15" max="15" width="12.28125" style="4" bestFit="1" customWidth="1"/>
    <col min="16" max="16384" width="9.140625" style="2" customWidth="1"/>
  </cols>
  <sheetData>
    <row r="1" spans="2:25" ht="63.75">
      <c r="B1" s="3" t="s">
        <v>1</v>
      </c>
      <c r="L1" s="3" t="s">
        <v>16</v>
      </c>
      <c r="Q1" s="17"/>
      <c r="R1" s="17"/>
      <c r="S1" s="31" t="s">
        <v>122</v>
      </c>
      <c r="T1" s="31" t="s">
        <v>122</v>
      </c>
      <c r="U1" s="31" t="s">
        <v>0</v>
      </c>
      <c r="V1" s="17" t="s">
        <v>153</v>
      </c>
      <c r="W1" s="17" t="s">
        <v>78</v>
      </c>
      <c r="X1" s="77" t="s">
        <v>155</v>
      </c>
      <c r="Y1" s="9" t="s">
        <v>156</v>
      </c>
    </row>
    <row r="2" spans="1:23" ht="12.75">
      <c r="A2" s="2" t="s">
        <v>2</v>
      </c>
      <c r="B2" s="5" t="s">
        <v>3</v>
      </c>
      <c r="D2" s="2" t="s">
        <v>4</v>
      </c>
      <c r="F2" s="6">
        <f>11.98-0.12*5</f>
        <v>11.38</v>
      </c>
      <c r="L2" s="2" t="s">
        <v>17</v>
      </c>
      <c r="Q2" s="31" t="s">
        <v>103</v>
      </c>
      <c r="R2" s="31" t="s">
        <v>127</v>
      </c>
      <c r="S2" s="17">
        <v>-2.45</v>
      </c>
      <c r="T2" s="23">
        <v>3548.133892335753</v>
      </c>
      <c r="U2" s="17">
        <v>-13</v>
      </c>
      <c r="V2" s="17">
        <v>210.19</v>
      </c>
      <c r="W2" s="17">
        <v>1</v>
      </c>
    </row>
    <row r="3" spans="12:25" ht="12.75">
      <c r="L3" s="2" t="s">
        <v>18</v>
      </c>
      <c r="Q3" s="17"/>
      <c r="R3" s="31" t="s">
        <v>123</v>
      </c>
      <c r="S3" s="17">
        <v>-2.83</v>
      </c>
      <c r="T3" s="23">
        <v>1479.1083881682066</v>
      </c>
      <c r="U3" s="88">
        <f>M21</f>
        <v>-12.61085545365126</v>
      </c>
      <c r="V3" s="21">
        <v>201.9</v>
      </c>
      <c r="W3" s="18">
        <f>V3/V2</f>
        <v>0.9605594937913317</v>
      </c>
      <c r="X3" s="4">
        <f>O21</f>
        <v>-22.90310860380486</v>
      </c>
      <c r="Y3" s="2">
        <f>L12</f>
        <v>-9.95851513420902</v>
      </c>
    </row>
    <row r="4" spans="5:25" ht="12.75">
      <c r="E4" s="2" t="s">
        <v>5</v>
      </c>
      <c r="L4" s="9" t="s">
        <v>134</v>
      </c>
      <c r="M4" s="63" t="s">
        <v>132</v>
      </c>
      <c r="Q4" s="17"/>
      <c r="R4" s="17"/>
      <c r="S4" s="17">
        <v>-3.3</v>
      </c>
      <c r="T4" s="23">
        <v>501.1872336272721</v>
      </c>
      <c r="U4" s="92">
        <f>M27</f>
        <v>-12.311008556867286</v>
      </c>
      <c r="V4" s="17">
        <v>195.85</v>
      </c>
      <c r="W4" s="18">
        <f>V4/V2</f>
        <v>0.9317760121794567</v>
      </c>
      <c r="X4" s="4">
        <f>O27</f>
        <v>-22.981778250583005</v>
      </c>
      <c r="Y4" s="2">
        <f>L12</f>
        <v>-9.95851513420902</v>
      </c>
    </row>
    <row r="5" spans="1:23" ht="12.75">
      <c r="A5" s="2" t="s">
        <v>6</v>
      </c>
      <c r="C5" s="5" t="s">
        <v>7</v>
      </c>
      <c r="E5" s="2">
        <v>5</v>
      </c>
      <c r="F5" s="7">
        <f>-0.0049*E5-1.31</f>
        <v>-1.3345</v>
      </c>
      <c r="L5" s="9" t="s">
        <v>135</v>
      </c>
      <c r="M5" s="63" t="s">
        <v>133</v>
      </c>
      <c r="Q5" s="17"/>
      <c r="R5" s="17"/>
      <c r="S5" s="17"/>
      <c r="T5" s="17"/>
      <c r="U5" s="17"/>
      <c r="V5" s="17"/>
      <c r="W5" s="17"/>
    </row>
    <row r="6" spans="1:23" ht="12.75">
      <c r="A6" s="2" t="s">
        <v>8</v>
      </c>
      <c r="C6" s="5" t="s">
        <v>9</v>
      </c>
      <c r="E6" s="2">
        <v>5</v>
      </c>
      <c r="F6" s="7">
        <f>0.0954*E6+10.41</f>
        <v>10.887</v>
      </c>
      <c r="L6" s="90" t="s">
        <v>158</v>
      </c>
      <c r="M6" s="91"/>
      <c r="N6" s="11"/>
      <c r="O6" s="11"/>
      <c r="Q6" s="31" t="s">
        <v>104</v>
      </c>
      <c r="R6" s="31" t="s">
        <v>127</v>
      </c>
      <c r="S6" s="17">
        <v>-2.49</v>
      </c>
      <c r="T6" s="23">
        <v>3235.9365692962792</v>
      </c>
      <c r="U6" s="17">
        <v>-13</v>
      </c>
      <c r="V6" s="21">
        <v>202.59</v>
      </c>
      <c r="W6" s="17">
        <v>1</v>
      </c>
    </row>
    <row r="7" spans="3:25" ht="12.75">
      <c r="C7" s="5"/>
      <c r="E7" s="2" t="s">
        <v>10</v>
      </c>
      <c r="F7" s="8">
        <f>F5+F6</f>
        <v>9.5525</v>
      </c>
      <c r="L7" s="3"/>
      <c r="M7" s="61" t="s">
        <v>20</v>
      </c>
      <c r="O7" s="12"/>
      <c r="Q7" s="17"/>
      <c r="R7" s="31" t="s">
        <v>123</v>
      </c>
      <c r="S7" s="17">
        <v>-2.9</v>
      </c>
      <c r="T7" s="23">
        <v>1258.9254117941662</v>
      </c>
      <c r="U7" s="88">
        <f>M22</f>
        <v>-12.59047162927196</v>
      </c>
      <c r="V7" s="21">
        <v>194.3</v>
      </c>
      <c r="W7" s="18">
        <f>V7/V6</f>
        <v>0.959079915099462</v>
      </c>
      <c r="X7" s="4">
        <f>O22</f>
        <v>-22.907273883961956</v>
      </c>
      <c r="Y7" s="2">
        <f>L12</f>
        <v>-9.95851513420902</v>
      </c>
    </row>
    <row r="8" spans="12:25" ht="12.75">
      <c r="L8" s="66">
        <v>7</v>
      </c>
      <c r="M8" s="63" t="s">
        <v>138</v>
      </c>
      <c r="O8" s="12"/>
      <c r="Q8" s="17"/>
      <c r="R8" s="31" t="s">
        <v>126</v>
      </c>
      <c r="S8" s="17">
        <v>-3.3</v>
      </c>
      <c r="T8" s="23">
        <v>501.1872336272721</v>
      </c>
      <c r="U8" s="93">
        <f>M25</f>
        <v>-12.342461009909655</v>
      </c>
      <c r="V8" s="17">
        <v>189.35</v>
      </c>
      <c r="W8" s="18">
        <f>V8/V6</f>
        <v>0.9346463300261612</v>
      </c>
      <c r="X8" s="4">
        <f>O25</f>
        <v>-22.975001286371874</v>
      </c>
      <c r="Y8" s="2">
        <f>L12</f>
        <v>-9.95851513420902</v>
      </c>
    </row>
    <row r="9" spans="1:15" ht="12.75">
      <c r="A9" s="2" t="s">
        <v>11</v>
      </c>
      <c r="C9" s="5" t="s">
        <v>12</v>
      </c>
      <c r="E9" s="2">
        <v>5</v>
      </c>
      <c r="F9" s="8">
        <f>-0.41*4:4+10.78</f>
        <v>10.78</v>
      </c>
      <c r="L9" s="3">
        <f>IF(L4="Y",LOOKUP(L8,D18:E49),"")</f>
        <v>-9.95851513420902</v>
      </c>
      <c r="M9" s="61" t="s">
        <v>21</v>
      </c>
      <c r="O9" s="12"/>
    </row>
    <row r="10" spans="12:23" ht="12.75">
      <c r="L10" s="3">
        <f>IF(L5="Y",LOOKUP(L8,D18:F49),"")</f>
      </c>
      <c r="M10" s="61" t="s">
        <v>22</v>
      </c>
      <c r="O10" s="12"/>
      <c r="P10" s="10"/>
      <c r="Q10" s="17"/>
      <c r="R10" s="31" t="s">
        <v>159</v>
      </c>
      <c r="S10" s="17"/>
      <c r="T10" s="2">
        <v>4950</v>
      </c>
      <c r="U10" s="2">
        <v>-14.5</v>
      </c>
      <c r="V10" s="17"/>
      <c r="W10" s="17"/>
    </row>
    <row r="11" spans="1:23" ht="12.75">
      <c r="A11" s="2" t="s">
        <v>13</v>
      </c>
      <c r="F11" s="4">
        <v>0.94</v>
      </c>
      <c r="L11" s="3"/>
      <c r="M11" s="63" t="s">
        <v>136</v>
      </c>
      <c r="O11" s="12"/>
      <c r="Q11" s="31" t="s">
        <v>95</v>
      </c>
      <c r="R11" s="31" t="s">
        <v>127</v>
      </c>
      <c r="S11" s="17">
        <v>-2.47</v>
      </c>
      <c r="T11" s="23">
        <v>3388.4415613920214</v>
      </c>
      <c r="U11" s="17">
        <v>-13</v>
      </c>
      <c r="V11" s="21">
        <v>205.89</v>
      </c>
      <c r="W11" s="17">
        <v>1</v>
      </c>
    </row>
    <row r="12" spans="5:25" ht="12.75">
      <c r="E12" s="2" t="s">
        <v>14</v>
      </c>
      <c r="F12" s="6">
        <f>F7+F11</f>
        <v>10.4925</v>
      </c>
      <c r="L12" s="3">
        <f>AVERAGE(L9:L11)</f>
        <v>-9.95851513420902</v>
      </c>
      <c r="M12" s="63" t="s">
        <v>137</v>
      </c>
      <c r="O12" s="12"/>
      <c r="Q12" s="17"/>
      <c r="R12" s="31" t="s">
        <v>123</v>
      </c>
      <c r="S12" s="17">
        <v>-2.89</v>
      </c>
      <c r="T12" s="23">
        <v>1288.249551693133</v>
      </c>
      <c r="U12" s="88">
        <f>M23</f>
        <v>-12.58026361193254</v>
      </c>
      <c r="V12" s="80">
        <v>197.3</v>
      </c>
      <c r="W12" s="18">
        <f>V12/V11</f>
        <v>0.9582786925057071</v>
      </c>
      <c r="X12" s="4">
        <f>O23</f>
        <v>-22.909332208758475</v>
      </c>
      <c r="Y12" s="2">
        <f>L12</f>
        <v>-9.95851513420902</v>
      </c>
    </row>
    <row r="13" spans="5:25" ht="12.75">
      <c r="E13" s="2" t="s">
        <v>15</v>
      </c>
      <c r="F13" s="6">
        <f>F9+F11</f>
        <v>11.719999999999999</v>
      </c>
      <c r="L13" s="3">
        <f>EXP(L12/1000)</f>
        <v>0.9900909066855943</v>
      </c>
      <c r="M13" s="61" t="s">
        <v>23</v>
      </c>
      <c r="O13" s="12"/>
      <c r="Q13" s="17"/>
      <c r="R13" s="31" t="s">
        <v>126</v>
      </c>
      <c r="S13" s="17">
        <v>-3.3</v>
      </c>
      <c r="T13" s="23">
        <v>501.1872336272721</v>
      </c>
      <c r="U13" s="93">
        <f>M26</f>
        <v>-12.32150405426058</v>
      </c>
      <c r="V13" s="2">
        <v>192.17</v>
      </c>
      <c r="W13" s="18">
        <f>V13/V11</f>
        <v>0.9333624751080675</v>
      </c>
      <c r="X13" s="4">
        <f>O26</f>
        <v>-22.979532745294797</v>
      </c>
      <c r="Y13" s="2">
        <f>L12</f>
        <v>-9.95851513420902</v>
      </c>
    </row>
    <row r="14" spans="12:13" ht="12.75">
      <c r="L14" s="2">
        <v>-13</v>
      </c>
      <c r="M14" s="63" t="s">
        <v>25</v>
      </c>
    </row>
    <row r="15" spans="1:12" ht="15">
      <c r="A15" s="1" t="s">
        <v>26</v>
      </c>
      <c r="B15"/>
      <c r="C15"/>
      <c r="D15"/>
      <c r="E15" s="13"/>
      <c r="F15" s="13"/>
      <c r="G15" s="13"/>
      <c r="H15" s="13"/>
      <c r="I15" s="13"/>
      <c r="J15" s="13"/>
      <c r="K15"/>
      <c r="L15"/>
    </row>
    <row r="16" spans="1:15" ht="27.75">
      <c r="A16"/>
      <c r="B16"/>
      <c r="C16" t="s">
        <v>27</v>
      </c>
      <c r="D16" t="s">
        <v>28</v>
      </c>
      <c r="E16" s="67" t="s">
        <v>139</v>
      </c>
      <c r="F16" s="67" t="s">
        <v>140</v>
      </c>
      <c r="G16" s="67" t="s">
        <v>141</v>
      </c>
      <c r="H16" s="67" t="s">
        <v>142</v>
      </c>
      <c r="I16" s="67" t="s">
        <v>143</v>
      </c>
      <c r="J16" s="67" t="s">
        <v>144</v>
      </c>
      <c r="K16"/>
      <c r="L16" s="58" t="s">
        <v>78</v>
      </c>
      <c r="M16" s="63" t="s">
        <v>129</v>
      </c>
      <c r="N16" s="60" t="s">
        <v>130</v>
      </c>
      <c r="O16" s="59" t="s">
        <v>131</v>
      </c>
    </row>
    <row r="17" spans="1:14" ht="15">
      <c r="A17" s="57" t="s">
        <v>29</v>
      </c>
      <c r="B17"/>
      <c r="C17" t="s">
        <v>5</v>
      </c>
      <c r="D17" t="s">
        <v>5</v>
      </c>
      <c r="E17" s="13"/>
      <c r="F17" s="13"/>
      <c r="G17" s="13"/>
      <c r="H17" s="13"/>
      <c r="I17" s="13"/>
      <c r="J17" s="13"/>
      <c r="K17"/>
      <c r="L17" s="2">
        <v>1</v>
      </c>
      <c r="M17" s="61">
        <f aca="true" t="shared" si="0" ref="M17:M48">-1000*(1-10^((LOG(1+L$14/1000)+(L$13-1)*LOG(L17))))</f>
        <v>-13.00000000000001</v>
      </c>
      <c r="N17" s="28">
        <f>L14+L12</f>
        <v>-22.95851513420902</v>
      </c>
    </row>
    <row r="18" spans="1:15" ht="20.25">
      <c r="A18" s="57" t="s">
        <v>93</v>
      </c>
      <c r="B18" s="68" t="s">
        <v>145</v>
      </c>
      <c r="C18">
        <v>273.16</v>
      </c>
      <c r="D18">
        <v>0</v>
      </c>
      <c r="E18" s="13">
        <f aca="true" t="shared" si="1" ref="E18:E49">(-9.483/C18+0.02389)*1000</f>
        <v>-10.825917411041143</v>
      </c>
      <c r="F18" s="13">
        <f aca="true" t="shared" si="2" ref="F18:F49">(-4.232/C18+0.0151)*1000</f>
        <v>-0.3927515009518219</v>
      </c>
      <c r="G18" s="13">
        <f aca="true" t="shared" si="3" ref="G18:G49">1000*((1/1.0346*EXP(18.03/C18-0.03242)/EXP(0.0032798-10.611/C18+1803.4/C18^2)-1))</f>
        <v>11.027362322905354</v>
      </c>
      <c r="H18" s="13">
        <f aca="true" t="shared" si="4" ref="H18:H49">1000*((1/1.0346*EXP(18.03/C18-0.03242))-1)</f>
        <v>-0.42951468375329593</v>
      </c>
      <c r="I18" s="13">
        <f aca="true" t="shared" si="5" ref="I18:I49">1000*(1/1.0346-1)</f>
        <v>-33.442876473999576</v>
      </c>
      <c r="J18" s="13">
        <f aca="true" t="shared" si="6" ref="J18:J49">1000*(EXP(18.03/C18-0.03242)-1)</f>
        <v>34.155624108188846</v>
      </c>
      <c r="K18"/>
      <c r="L18" s="2">
        <v>0.99</v>
      </c>
      <c r="M18" s="61">
        <f t="shared" si="0"/>
        <v>-12.90170005574154</v>
      </c>
      <c r="N18" s="4">
        <f aca="true" t="shared" si="7" ref="N18:N49">L$14+(L$14-M18)/(1-L18)</f>
        <v>-22.82999442584606</v>
      </c>
      <c r="O18" s="4">
        <f aca="true" t="shared" si="8" ref="O18:O49">((L17-L18)*N18+(L$17-L17)*O17)/(L$17-L18)</f>
        <v>-22.82999442584606</v>
      </c>
    </row>
    <row r="19" spans="1:15" ht="20.25">
      <c r="A19" s="57" t="s">
        <v>88</v>
      </c>
      <c r="B19" s="68" t="s">
        <v>146</v>
      </c>
      <c r="C19">
        <f aca="true" t="shared" si="9" ref="C19:D24">C18+1</f>
        <v>274.16</v>
      </c>
      <c r="D19">
        <f t="shared" si="9"/>
        <v>1</v>
      </c>
      <c r="E19" s="13">
        <f t="shared" si="1"/>
        <v>-10.699290925007293</v>
      </c>
      <c r="F19" s="13">
        <f t="shared" si="2"/>
        <v>-0.33624161073825437</v>
      </c>
      <c r="G19" s="13">
        <f t="shared" si="3"/>
        <v>10.818655228875595</v>
      </c>
      <c r="H19" s="13">
        <f t="shared" si="4"/>
        <v>-0.6701368748719405</v>
      </c>
      <c r="I19" s="13">
        <f t="shared" si="5"/>
        <v>-33.442876473999576</v>
      </c>
      <c r="J19" s="13">
        <f t="shared" si="6"/>
        <v>33.906676389257484</v>
      </c>
      <c r="K19"/>
      <c r="L19" s="2">
        <v>0.98</v>
      </c>
      <c r="M19" s="61">
        <f t="shared" si="0"/>
        <v>-12.802392185698451</v>
      </c>
      <c r="N19" s="4">
        <f t="shared" si="7"/>
        <v>-22.880390715077418</v>
      </c>
      <c r="O19" s="4">
        <f t="shared" si="8"/>
        <v>-22.85519257046174</v>
      </c>
    </row>
    <row r="20" spans="1:15" ht="15.75">
      <c r="A20" s="57"/>
      <c r="B20" s="69"/>
      <c r="C20">
        <f t="shared" si="9"/>
        <v>275.16</v>
      </c>
      <c r="D20">
        <f t="shared" si="9"/>
        <v>2</v>
      </c>
      <c r="E20" s="13">
        <f t="shared" si="1"/>
        <v>-10.573584823375489</v>
      </c>
      <c r="F20" s="13">
        <f t="shared" si="2"/>
        <v>-0.28014246256723163</v>
      </c>
      <c r="G20" s="13">
        <f t="shared" si="3"/>
        <v>10.610864880011617</v>
      </c>
      <c r="H20" s="13">
        <f t="shared" si="4"/>
        <v>-0.908952810044994</v>
      </c>
      <c r="I20" s="13">
        <f t="shared" si="5"/>
        <v>-33.442876473999576</v>
      </c>
      <c r="J20" s="13">
        <f t="shared" si="6"/>
        <v>33.659597422727394</v>
      </c>
      <c r="K20"/>
      <c r="L20" s="2">
        <v>0.97</v>
      </c>
      <c r="M20" s="61">
        <f t="shared" si="0"/>
        <v>-12.702055610439356</v>
      </c>
      <c r="N20" s="4">
        <f t="shared" si="7"/>
        <v>-22.931479652021473</v>
      </c>
      <c r="O20" s="4">
        <f t="shared" si="8"/>
        <v>-22.880621597648318</v>
      </c>
    </row>
    <row r="21" spans="1:15" ht="15.75">
      <c r="A21" s="57" t="s">
        <v>33</v>
      </c>
      <c r="B21" s="69"/>
      <c r="C21">
        <f t="shared" si="9"/>
        <v>276.16</v>
      </c>
      <c r="D21">
        <f t="shared" si="9"/>
        <v>3</v>
      </c>
      <c r="E21" s="13">
        <f t="shared" si="1"/>
        <v>-10.448789107763611</v>
      </c>
      <c r="F21" s="13">
        <f t="shared" si="2"/>
        <v>-0.2244495944380056</v>
      </c>
      <c r="G21" s="13">
        <f t="shared" si="3"/>
        <v>10.403988196564518</v>
      </c>
      <c r="H21" s="13">
        <f t="shared" si="4"/>
        <v>-1.1459827447546367</v>
      </c>
      <c r="I21" s="13">
        <f t="shared" si="5"/>
        <v>-33.442876473999576</v>
      </c>
      <c r="J21" s="13">
        <f t="shared" si="6"/>
        <v>33.414366252276785</v>
      </c>
      <c r="K21"/>
      <c r="L21" s="85">
        <v>0.961</v>
      </c>
      <c r="M21" s="86">
        <f t="shared" si="0"/>
        <v>-12.61085545365126</v>
      </c>
      <c r="N21" s="87">
        <f t="shared" si="7"/>
        <v>-22.978065290993335</v>
      </c>
      <c r="O21" s="87">
        <f t="shared" si="8"/>
        <v>-22.90310860380486</v>
      </c>
    </row>
    <row r="22" spans="1:15" ht="20.25">
      <c r="A22" s="57" t="s">
        <v>34</v>
      </c>
      <c r="B22" s="68" t="s">
        <v>147</v>
      </c>
      <c r="C22">
        <f t="shared" si="9"/>
        <v>277.16</v>
      </c>
      <c r="D22">
        <f t="shared" si="9"/>
        <v>4</v>
      </c>
      <c r="E22" s="13">
        <f t="shared" si="1"/>
        <v>-10.324893924087169</v>
      </c>
      <c r="F22" s="13">
        <f t="shared" si="2"/>
        <v>-0.1691586087458497</v>
      </c>
      <c r="G22" s="13">
        <f t="shared" si="3"/>
        <v>10.198022039855426</v>
      </c>
      <c r="H22" s="13">
        <f t="shared" si="4"/>
        <v>-1.3812466328454454</v>
      </c>
      <c r="I22" s="13">
        <f t="shared" si="5"/>
        <v>-33.442876473999576</v>
      </c>
      <c r="J22" s="13">
        <f t="shared" si="6"/>
        <v>33.17096223365801</v>
      </c>
      <c r="K22"/>
      <c r="L22" s="85">
        <v>0.959</v>
      </c>
      <c r="M22" s="86">
        <f t="shared" si="0"/>
        <v>-12.59047162927196</v>
      </c>
      <c r="N22" s="87">
        <f t="shared" si="7"/>
        <v>-22.98849684702536</v>
      </c>
      <c r="O22" s="87">
        <f t="shared" si="8"/>
        <v>-22.907273883961956</v>
      </c>
    </row>
    <row r="23" spans="1:15" ht="20.25">
      <c r="A23" s="57" t="s">
        <v>36</v>
      </c>
      <c r="B23" s="68" t="s">
        <v>148</v>
      </c>
      <c r="C23">
        <f t="shared" si="9"/>
        <v>278.16</v>
      </c>
      <c r="D23">
        <f t="shared" si="9"/>
        <v>5</v>
      </c>
      <c r="E23" s="13">
        <f t="shared" si="1"/>
        <v>-10.201889559965483</v>
      </c>
      <c r="F23" s="13">
        <f t="shared" si="2"/>
        <v>-0.11426517112453176</v>
      </c>
      <c r="G23" s="13">
        <f t="shared" si="3"/>
        <v>9.992963215246453</v>
      </c>
      <c r="H23" s="13">
        <f t="shared" si="4"/>
        <v>-1.6147641321171413</v>
      </c>
      <c r="I23" s="13">
        <f t="shared" si="5"/>
        <v>-33.442876473999576</v>
      </c>
      <c r="J23" s="13">
        <f t="shared" si="6"/>
        <v>32.929365028911526</v>
      </c>
      <c r="K23"/>
      <c r="L23" s="85">
        <v>0.958</v>
      </c>
      <c r="M23" s="86">
        <f t="shared" si="0"/>
        <v>-12.58026361193254</v>
      </c>
      <c r="N23" s="87">
        <f t="shared" si="7"/>
        <v>-22.99372352541569</v>
      </c>
      <c r="O23" s="87">
        <f t="shared" si="8"/>
        <v>-22.909332208758475</v>
      </c>
    </row>
    <row r="24" spans="1:15" ht="20.25">
      <c r="A24" s="57" t="s">
        <v>38</v>
      </c>
      <c r="B24" s="68" t="s">
        <v>149</v>
      </c>
      <c r="C24">
        <f t="shared" si="9"/>
        <v>279.16</v>
      </c>
      <c r="D24">
        <f t="shared" si="9"/>
        <v>6</v>
      </c>
      <c r="E24" s="13">
        <f t="shared" si="1"/>
        <v>-10.07976644218369</v>
      </c>
      <c r="F24" s="13">
        <f t="shared" si="2"/>
        <v>-0.05976500931365383</v>
      </c>
      <c r="G24" s="13">
        <f t="shared" si="3"/>
        <v>9.788808475005961</v>
      </c>
      <c r="H24" s="13">
        <f t="shared" si="4"/>
        <v>-1.846554609792661</v>
      </c>
      <c r="I24" s="13">
        <f t="shared" si="5"/>
        <v>-33.442876473999576</v>
      </c>
      <c r="J24" s="13">
        <f t="shared" si="6"/>
        <v>32.68955460070843</v>
      </c>
      <c r="K24"/>
      <c r="L24" s="2">
        <v>0.94</v>
      </c>
      <c r="M24" s="61">
        <f t="shared" si="0"/>
        <v>-12.394655971561086</v>
      </c>
      <c r="N24" s="4">
        <f t="shared" si="7"/>
        <v>-23.08906714064856</v>
      </c>
      <c r="O24" s="4">
        <f t="shared" si="8"/>
        <v>-22.9632526883255</v>
      </c>
    </row>
    <row r="25" spans="1:15" ht="20.25">
      <c r="A25" s="57" t="s">
        <v>40</v>
      </c>
      <c r="B25" s="68" t="s">
        <v>150</v>
      </c>
      <c r="C25" s="64">
        <v>279.66</v>
      </c>
      <c r="D25" s="64">
        <v>6.5</v>
      </c>
      <c r="E25" s="65">
        <f t="shared" si="1"/>
        <v>-10.019032396481443</v>
      </c>
      <c r="F25" s="65">
        <f t="shared" si="2"/>
        <v>-0.0326610884645636</v>
      </c>
      <c r="G25" s="65">
        <f t="shared" si="3"/>
        <v>9.687069107771507</v>
      </c>
      <c r="H25" s="65">
        <f t="shared" si="4"/>
        <v>-1.9618081896531914</v>
      </c>
      <c r="I25" s="65">
        <f t="shared" si="5"/>
        <v>-33.442876473999576</v>
      </c>
      <c r="J25" s="65">
        <f t="shared" si="6"/>
        <v>32.57031324698478</v>
      </c>
      <c r="K25"/>
      <c r="L25" s="85">
        <v>0.935</v>
      </c>
      <c r="M25" s="86">
        <f t="shared" si="0"/>
        <v>-12.342461009909655</v>
      </c>
      <c r="N25" s="87">
        <f t="shared" si="7"/>
        <v>-23.115984462928388</v>
      </c>
      <c r="O25" s="87">
        <f t="shared" si="8"/>
        <v>-22.975001286371874</v>
      </c>
    </row>
    <row r="26" spans="1:15" ht="15">
      <c r="A26"/>
      <c r="B26"/>
      <c r="C26">
        <f>C24+1</f>
        <v>280.16</v>
      </c>
      <c r="D26">
        <f>D24+1</f>
        <v>7</v>
      </c>
      <c r="E26" s="13">
        <f t="shared" si="1"/>
        <v>-9.95851513420902</v>
      </c>
      <c r="F26" s="13">
        <f t="shared" si="2"/>
        <v>-0.00565391205025606</v>
      </c>
      <c r="G26" s="13">
        <f t="shared" si="3"/>
        <v>9.585554521071016</v>
      </c>
      <c r="H26" s="13">
        <f t="shared" si="4"/>
        <v>-2.0766371478662116</v>
      </c>
      <c r="I26" s="13">
        <f t="shared" si="5"/>
        <v>-33.442876473999576</v>
      </c>
      <c r="J26" s="13">
        <f t="shared" si="6"/>
        <v>32.45151120681755</v>
      </c>
      <c r="K26"/>
      <c r="L26" s="85">
        <v>0.933</v>
      </c>
      <c r="M26" s="86">
        <f t="shared" si="0"/>
        <v>-12.32150405426058</v>
      </c>
      <c r="N26" s="87">
        <f t="shared" si="7"/>
        <v>-23.12680516028987</v>
      </c>
      <c r="O26" s="87">
        <f t="shared" si="8"/>
        <v>-22.979532745294797</v>
      </c>
    </row>
    <row r="27" spans="1:15" ht="15">
      <c r="A27"/>
      <c r="B27"/>
      <c r="C27">
        <f aca="true" t="shared" si="10" ref="C27:C49">C26+1</f>
        <v>281.16</v>
      </c>
      <c r="D27">
        <f aca="true" t="shared" si="11" ref="D27:D49">D26+1</f>
        <v>8</v>
      </c>
      <c r="E27" s="13">
        <f t="shared" si="1"/>
        <v>-9.838126333760133</v>
      </c>
      <c r="F27" s="13">
        <f t="shared" si="2"/>
        <v>0.048072272015935516</v>
      </c>
      <c r="G27" s="13">
        <f t="shared" si="3"/>
        <v>9.383198007715476</v>
      </c>
      <c r="H27" s="13">
        <f t="shared" si="4"/>
        <v>-2.3050305483323097</v>
      </c>
      <c r="I27" s="13">
        <f t="shared" si="5"/>
        <v>-33.442876473999576</v>
      </c>
      <c r="J27" s="13">
        <f t="shared" si="6"/>
        <v>32.21521539469529</v>
      </c>
      <c r="K27"/>
      <c r="L27" s="85">
        <v>0.932</v>
      </c>
      <c r="M27" s="86">
        <f t="shared" si="0"/>
        <v>-12.311008556867286</v>
      </c>
      <c r="N27" s="87">
        <f t="shared" si="7"/>
        <v>-23.132227104892863</v>
      </c>
      <c r="O27" s="87">
        <f t="shared" si="8"/>
        <v>-22.981778250583005</v>
      </c>
    </row>
    <row r="28" spans="1:15" ht="15">
      <c r="A28" s="14" t="s">
        <v>30</v>
      </c>
      <c r="B28"/>
      <c r="C28">
        <f t="shared" si="10"/>
        <v>282.16</v>
      </c>
      <c r="D28">
        <f t="shared" si="11"/>
        <v>9</v>
      </c>
      <c r="E28" s="13">
        <f t="shared" si="1"/>
        <v>-9.718590870428125</v>
      </c>
      <c r="F28" s="13">
        <f t="shared" si="2"/>
        <v>0.10141763538418051</v>
      </c>
      <c r="G28" s="13">
        <f t="shared" si="3"/>
        <v>9.181735544116165</v>
      </c>
      <c r="H28" s="13">
        <f t="shared" si="4"/>
        <v>-2.531753338302578</v>
      </c>
      <c r="I28" s="13">
        <f t="shared" si="5"/>
        <v>-33.442876473999576</v>
      </c>
      <c r="J28" s="13">
        <f t="shared" si="6"/>
        <v>31.980647996192157</v>
      </c>
      <c r="K28"/>
      <c r="L28" s="2">
        <v>0.89</v>
      </c>
      <c r="M28" s="61">
        <f t="shared" si="0"/>
        <v>-11.859608914986497</v>
      </c>
      <c r="N28" s="4">
        <f t="shared" si="7"/>
        <v>-23.367191681940938</v>
      </c>
      <c r="O28" s="4">
        <f t="shared" si="8"/>
        <v>-23.128936106192395</v>
      </c>
    </row>
    <row r="29" spans="1:15" ht="15">
      <c r="A29" s="14" t="s">
        <v>31</v>
      </c>
      <c r="B29"/>
      <c r="C29">
        <f t="shared" si="10"/>
        <v>283.16</v>
      </c>
      <c r="D29">
        <f t="shared" si="11"/>
        <v>10</v>
      </c>
      <c r="E29" s="13">
        <f t="shared" si="1"/>
        <v>-9.59989970334793</v>
      </c>
      <c r="F29" s="13">
        <f t="shared" si="2"/>
        <v>0.15438621274191378</v>
      </c>
      <c r="G29" s="13">
        <f t="shared" si="3"/>
        <v>8.981163696834882</v>
      </c>
      <c r="H29" s="13">
        <f t="shared" si="4"/>
        <v>-2.756823775008077</v>
      </c>
      <c r="I29" s="13">
        <f t="shared" si="5"/>
        <v>-33.442876473999576</v>
      </c>
      <c r="J29" s="13">
        <f t="shared" si="6"/>
        <v>31.747790122376607</v>
      </c>
      <c r="K29"/>
      <c r="L29" s="2">
        <v>0.88</v>
      </c>
      <c r="M29" s="61">
        <f t="shared" si="0"/>
        <v>-11.748962274029996</v>
      </c>
      <c r="N29" s="4">
        <f t="shared" si="7"/>
        <v>-23.425314383083368</v>
      </c>
      <c r="O29" s="4">
        <f t="shared" si="8"/>
        <v>-23.15363429593331</v>
      </c>
    </row>
    <row r="30" spans="1:15" ht="15">
      <c r="A30" s="14" t="s">
        <v>32</v>
      </c>
      <c r="B30"/>
      <c r="C30">
        <f t="shared" si="10"/>
        <v>284.16</v>
      </c>
      <c r="D30">
        <f t="shared" si="11"/>
        <v>11</v>
      </c>
      <c r="E30" s="13">
        <f t="shared" si="1"/>
        <v>-9.482043918918915</v>
      </c>
      <c r="F30" s="13">
        <f t="shared" si="2"/>
        <v>0.20698198198198375</v>
      </c>
      <c r="G30" s="13">
        <f t="shared" si="3"/>
        <v>8.781478992205605</v>
      </c>
      <c r="H30" s="13">
        <f t="shared" si="4"/>
        <v>-2.980259850695388</v>
      </c>
      <c r="I30" s="13">
        <f t="shared" si="5"/>
        <v>-33.442876473999576</v>
      </c>
      <c r="J30" s="13">
        <f t="shared" si="6"/>
        <v>31.51662315847048</v>
      </c>
      <c r="K30"/>
      <c r="L30" s="2">
        <v>0.87</v>
      </c>
      <c r="M30" s="61">
        <f t="shared" si="0"/>
        <v>-11.637038469834105</v>
      </c>
      <c r="N30" s="4">
        <f t="shared" si="7"/>
        <v>-23.484319462814582</v>
      </c>
      <c r="O30" s="4">
        <f t="shared" si="8"/>
        <v>-23.17907161646264</v>
      </c>
    </row>
    <row r="31" spans="1:15" ht="15">
      <c r="A31"/>
      <c r="B31"/>
      <c r="C31">
        <f t="shared" si="10"/>
        <v>285.16</v>
      </c>
      <c r="D31">
        <f t="shared" si="11"/>
        <v>12</v>
      </c>
      <c r="E31" s="13">
        <f t="shared" si="1"/>
        <v>-9.365014728573428</v>
      </c>
      <c r="F31" s="13">
        <f t="shared" si="2"/>
        <v>0.2592088651984861</v>
      </c>
      <c r="G31" s="13">
        <f t="shared" si="3"/>
        <v>8.582677918640647</v>
      </c>
      <c r="H31" s="13">
        <f t="shared" si="4"/>
        <v>-3.2020792974140067</v>
      </c>
      <c r="I31" s="13">
        <f t="shared" si="5"/>
        <v>-33.442876473999576</v>
      </c>
      <c r="J31" s="13">
        <f t="shared" si="6"/>
        <v>31.28712875889539</v>
      </c>
      <c r="K31"/>
      <c r="L31" s="2">
        <v>0.86</v>
      </c>
      <c r="M31" s="61">
        <f t="shared" si="0"/>
        <v>-11.523807823631937</v>
      </c>
      <c r="N31" s="4">
        <f t="shared" si="7"/>
        <v>-23.544229831200447</v>
      </c>
      <c r="O31" s="4">
        <f t="shared" si="8"/>
        <v>-23.20515434608677</v>
      </c>
    </row>
    <row r="32" spans="1:15" ht="15">
      <c r="A32" s="14" t="s">
        <v>35</v>
      </c>
      <c r="B32"/>
      <c r="C32">
        <f t="shared" si="10"/>
        <v>286.16</v>
      </c>
      <c r="D32">
        <f t="shared" si="11"/>
        <v>13</v>
      </c>
      <c r="E32" s="13">
        <f t="shared" si="1"/>
        <v>-9.248803466592111</v>
      </c>
      <c r="F32" s="13">
        <f t="shared" si="2"/>
        <v>0.3110707296617287</v>
      </c>
      <c r="G32" s="13">
        <f t="shared" si="3"/>
        <v>8.384756928851544</v>
      </c>
      <c r="H32" s="13">
        <f t="shared" si="4"/>
        <v>-3.4222995917029264</v>
      </c>
      <c r="I32" s="13">
        <f t="shared" si="5"/>
        <v>-33.442876473999576</v>
      </c>
      <c r="J32" s="13">
        <f t="shared" si="6"/>
        <v>31.05928884242415</v>
      </c>
      <c r="K32"/>
      <c r="L32" s="2">
        <v>0.85</v>
      </c>
      <c r="M32" s="61">
        <f t="shared" si="0"/>
        <v>-11.409239611750221</v>
      </c>
      <c r="N32" s="4">
        <f t="shared" si="7"/>
        <v>-23.605069254998522</v>
      </c>
      <c r="O32" s="4">
        <f t="shared" si="8"/>
        <v>-23.23181534001422</v>
      </c>
    </row>
    <row r="33" spans="1:15" ht="15">
      <c r="A33" s="14" t="s">
        <v>37</v>
      </c>
      <c r="B33"/>
      <c r="C33">
        <f t="shared" si="10"/>
        <v>287.16</v>
      </c>
      <c r="D33">
        <f t="shared" si="11"/>
        <v>14</v>
      </c>
      <c r="E33" s="13">
        <f t="shared" si="1"/>
        <v>-9.133401587964899</v>
      </c>
      <c r="F33" s="13">
        <f t="shared" si="2"/>
        <v>0.3625713887728116</v>
      </c>
      <c r="G33" s="13">
        <f t="shared" si="3"/>
        <v>8.1877124419929</v>
      </c>
      <c r="H33" s="13">
        <f t="shared" si="4"/>
        <v>-3.640937959173529</v>
      </c>
      <c r="I33" s="13">
        <f t="shared" si="5"/>
        <v>-33.442876473999576</v>
      </c>
      <c r="J33" s="13">
        <f t="shared" si="6"/>
        <v>30.833085587439022</v>
      </c>
      <c r="K33"/>
      <c r="L33" s="2">
        <v>0.84</v>
      </c>
      <c r="M33" s="61">
        <f t="shared" si="0"/>
        <v>-11.29330201601797</v>
      </c>
      <c r="N33" s="4">
        <f t="shared" si="7"/>
        <v>-23.666862399887687</v>
      </c>
      <c r="O33" s="4">
        <f t="shared" si="8"/>
        <v>-23.25900578125631</v>
      </c>
    </row>
    <row r="34" spans="1:15" ht="15">
      <c r="A34" s="14" t="s">
        <v>39</v>
      </c>
      <c r="B34"/>
      <c r="C34">
        <f t="shared" si="10"/>
        <v>288.16</v>
      </c>
      <c r="D34">
        <f t="shared" si="11"/>
        <v>15</v>
      </c>
      <c r="E34" s="13">
        <f t="shared" si="1"/>
        <v>-9.018800666296498</v>
      </c>
      <c r="F34" s="13">
        <f t="shared" si="2"/>
        <v>0.41371460299833607</v>
      </c>
      <c r="G34" s="13">
        <f t="shared" si="3"/>
        <v>7.991540845726286</v>
      </c>
      <c r="H34" s="13">
        <f t="shared" si="4"/>
        <v>-3.858011378997217</v>
      </c>
      <c r="I34" s="13">
        <f t="shared" si="5"/>
        <v>-33.442876473999576</v>
      </c>
      <c r="J34" s="13">
        <f t="shared" si="6"/>
        <v>30.608501427289436</v>
      </c>
      <c r="K34"/>
      <c r="L34" s="2">
        <v>0.83</v>
      </c>
      <c r="M34" s="61">
        <f t="shared" si="0"/>
        <v>-11.175962071197532</v>
      </c>
      <c r="N34" s="4">
        <f t="shared" si="7"/>
        <v>-23.729634875308633</v>
      </c>
      <c r="O34" s="4">
        <f t="shared" si="8"/>
        <v>-23.28668984561233</v>
      </c>
    </row>
    <row r="35" spans="1:15" ht="15">
      <c r="A35"/>
      <c r="B35"/>
      <c r="C35">
        <f t="shared" si="10"/>
        <v>289.16</v>
      </c>
      <c r="D35">
        <f t="shared" si="11"/>
        <v>16</v>
      </c>
      <c r="E35" s="13">
        <f t="shared" si="1"/>
        <v>-8.904992391755426</v>
      </c>
      <c r="F35" s="13">
        <f t="shared" si="2"/>
        <v>0.4645040807857246</v>
      </c>
      <c r="G35" s="13">
        <f t="shared" si="3"/>
        <v>7.796238498212205</v>
      </c>
      <c r="H35" s="13">
        <f t="shared" si="4"/>
        <v>-4.0735365882946795</v>
      </c>
      <c r="I35" s="13">
        <f t="shared" si="5"/>
        <v>-33.442876473999576</v>
      </c>
      <c r="J35" s="13">
        <f t="shared" si="6"/>
        <v>30.385519045750264</v>
      </c>
      <c r="K35"/>
      <c r="L35" s="2">
        <v>0.82</v>
      </c>
      <c r="M35" s="61">
        <f t="shared" si="0"/>
        <v>-11.05718560922786</v>
      </c>
      <c r="N35" s="4">
        <f t="shared" si="7"/>
        <v>-23.79341328206744</v>
      </c>
      <c r="O35" s="4">
        <f t="shared" si="8"/>
        <v>-23.314841147637612</v>
      </c>
    </row>
    <row r="36" spans="1:15" ht="15">
      <c r="A36"/>
      <c r="B36"/>
      <c r="C36">
        <f t="shared" si="10"/>
        <v>290.16</v>
      </c>
      <c r="D36">
        <f t="shared" si="11"/>
        <v>17</v>
      </c>
      <c r="E36" s="13">
        <f t="shared" si="1"/>
        <v>-8.791968569065341</v>
      </c>
      <c r="F36" s="13">
        <f t="shared" si="2"/>
        <v>0.5149434794596095</v>
      </c>
      <c r="G36" s="13">
        <f t="shared" si="3"/>
        <v>7.601801730030555</v>
      </c>
      <c r="H36" s="13">
        <f t="shared" si="4"/>
        <v>-4.287530086432456</v>
      </c>
      <c r="I36" s="13">
        <f t="shared" si="5"/>
        <v>-33.442876473999576</v>
      </c>
      <c r="J36" s="13">
        <f t="shared" si="6"/>
        <v>30.164121372576957</v>
      </c>
      <c r="K36"/>
      <c r="L36" s="2">
        <v>0.81</v>
      </c>
      <c r="M36" s="61">
        <f t="shared" si="0"/>
        <v>-10.93693720003397</v>
      </c>
      <c r="N36" s="4">
        <f t="shared" si="7"/>
        <v>-23.858225262979108</v>
      </c>
      <c r="O36" s="4">
        <f t="shared" si="8"/>
        <v>-23.34344031160295</v>
      </c>
    </row>
    <row r="37" spans="1:15" ht="15">
      <c r="A37"/>
      <c r="B37"/>
      <c r="C37">
        <f t="shared" si="10"/>
        <v>291.16</v>
      </c>
      <c r="D37">
        <f t="shared" si="11"/>
        <v>18</v>
      </c>
      <c r="E37" s="13">
        <f t="shared" si="1"/>
        <v>-8.679721115537845</v>
      </c>
      <c r="F37" s="13">
        <f t="shared" si="2"/>
        <v>0.5650364060997403</v>
      </c>
      <c r="G37" s="13">
        <f t="shared" si="3"/>
        <v>7.408226846028931</v>
      </c>
      <c r="H37" s="13">
        <f t="shared" si="4"/>
        <v>-4.50000813922935</v>
      </c>
      <c r="I37" s="13">
        <f t="shared" si="5"/>
        <v>-33.442876473999576</v>
      </c>
      <c r="J37" s="13">
        <f t="shared" si="6"/>
        <v>29.944291579153237</v>
      </c>
      <c r="K37"/>
      <c r="L37" s="2">
        <v>0.8</v>
      </c>
      <c r="M37" s="61">
        <f t="shared" si="0"/>
        <v>-10.81518008865645</v>
      </c>
      <c r="N37" s="4">
        <f t="shared" si="7"/>
        <v>-23.92409955671775</v>
      </c>
      <c r="O37" s="4">
        <f t="shared" si="8"/>
        <v>-23.37247327385869</v>
      </c>
    </row>
    <row r="38" spans="1:15" ht="15">
      <c r="A38"/>
      <c r="B38"/>
      <c r="C38">
        <f t="shared" si="10"/>
        <v>292.16</v>
      </c>
      <c r="D38">
        <f t="shared" si="11"/>
        <v>19</v>
      </c>
      <c r="E38" s="13">
        <f t="shared" si="1"/>
        <v>-8.568242059145671</v>
      </c>
      <c r="F38" s="13">
        <f t="shared" si="2"/>
        <v>0.6147864184008773</v>
      </c>
      <c r="G38" s="13">
        <f t="shared" si="3"/>
        <v>7.21551012710786</v>
      </c>
      <c r="H38" s="13">
        <f t="shared" si="4"/>
        <v>-4.710986783072468</v>
      </c>
      <c r="I38" s="13">
        <f t="shared" si="5"/>
        <v>-33.442876473999576</v>
      </c>
      <c r="J38" s="13">
        <f t="shared" si="6"/>
        <v>29.726013074233173</v>
      </c>
      <c r="K38"/>
      <c r="L38" s="2">
        <v>0.79</v>
      </c>
      <c r="M38" s="61">
        <f t="shared" si="0"/>
        <v>-10.691876128417155</v>
      </c>
      <c r="N38" s="4">
        <f t="shared" si="7"/>
        <v>-23.99106605515641</v>
      </c>
      <c r="O38" s="4">
        <f t="shared" si="8"/>
        <v>-23.40193007296811</v>
      </c>
    </row>
    <row r="39" spans="1:15" ht="15">
      <c r="A39"/>
      <c r="B39"/>
      <c r="C39">
        <f t="shared" si="10"/>
        <v>293.16</v>
      </c>
      <c r="D39">
        <f t="shared" si="11"/>
        <v>20</v>
      </c>
      <c r="E39" s="13">
        <f t="shared" si="1"/>
        <v>-8.457523536635279</v>
      </c>
      <c r="F39" s="13">
        <f t="shared" si="2"/>
        <v>0.664197025515078</v>
      </c>
      <c r="G39" s="13">
        <f t="shared" si="3"/>
        <v>7.023647831939428</v>
      </c>
      <c r="H39" s="13">
        <f t="shared" si="4"/>
        <v>-4.920481828946999</v>
      </c>
      <c r="I39" s="13">
        <f t="shared" si="5"/>
        <v>-33.442876473999576</v>
      </c>
      <c r="J39" s="13">
        <f t="shared" si="6"/>
        <v>29.509269499771396</v>
      </c>
      <c r="K39"/>
      <c r="L39" s="2">
        <v>0.78</v>
      </c>
      <c r="M39" s="61">
        <f t="shared" si="0"/>
        <v>-10.566985709818177</v>
      </c>
      <c r="N39" s="4">
        <f t="shared" si="7"/>
        <v>-24.059155864462838</v>
      </c>
      <c r="O39" s="4">
        <f t="shared" si="8"/>
        <v>-23.431803972581505</v>
      </c>
    </row>
    <row r="40" spans="1:15" ht="15">
      <c r="A40"/>
      <c r="B40"/>
      <c r="C40">
        <f t="shared" si="10"/>
        <v>294.16</v>
      </c>
      <c r="D40">
        <f t="shared" si="11"/>
        <v>21</v>
      </c>
      <c r="E40" s="13">
        <f t="shared" si="1"/>
        <v>-8.347557791677993</v>
      </c>
      <c r="F40" s="13">
        <f t="shared" si="2"/>
        <v>0.7132716888768025</v>
      </c>
      <c r="G40" s="13">
        <f t="shared" si="3"/>
        <v>6.832636198624176</v>
      </c>
      <c r="H40" s="13">
        <f t="shared" si="4"/>
        <v>-5.128508866381387</v>
      </c>
      <c r="I40" s="13">
        <f t="shared" si="5"/>
        <v>-33.442876473999576</v>
      </c>
      <c r="J40" s="13">
        <f t="shared" si="6"/>
        <v>29.29404472684172</v>
      </c>
      <c r="K40"/>
      <c r="L40" s="2">
        <v>0.77</v>
      </c>
      <c r="M40" s="61">
        <f t="shared" si="0"/>
        <v>-10.440467684844412</v>
      </c>
      <c r="N40" s="4">
        <f t="shared" si="7"/>
        <v>-24.128401370241686</v>
      </c>
      <c r="O40" s="4">
        <f t="shared" si="8"/>
        <v>-23.462090815958035</v>
      </c>
    </row>
    <row r="41" spans="1:15" ht="15">
      <c r="A41"/>
      <c r="B41"/>
      <c r="C41">
        <f t="shared" si="10"/>
        <v>295.16</v>
      </c>
      <c r="D41">
        <f t="shared" si="11"/>
        <v>22</v>
      </c>
      <c r="E41" s="13">
        <f t="shared" si="1"/>
        <v>-8.238337173058676</v>
      </c>
      <c r="F41" s="13">
        <f t="shared" si="2"/>
        <v>0.7620138230112501</v>
      </c>
      <c r="G41" s="13">
        <f t="shared" si="3"/>
        <v>6.642471446286491</v>
      </c>
      <c r="H41" s="13">
        <f t="shared" si="4"/>
        <v>-5.335083267310914</v>
      </c>
      <c r="I41" s="13">
        <f t="shared" si="5"/>
        <v>-33.442876473999576</v>
      </c>
      <c r="J41" s="13">
        <f t="shared" si="6"/>
        <v>29.080322851640084</v>
      </c>
      <c r="K41"/>
      <c r="L41" s="2">
        <v>0.76</v>
      </c>
      <c r="M41" s="61">
        <f t="shared" si="0"/>
        <v>-10.312279286309401</v>
      </c>
      <c r="N41" s="4">
        <f t="shared" si="7"/>
        <v>-24.19883630704416</v>
      </c>
      <c r="O41" s="4">
        <f t="shared" si="8"/>
        <v>-23.492788544753292</v>
      </c>
    </row>
    <row r="42" spans="1:15" ht="15">
      <c r="A42"/>
      <c r="B42"/>
      <c r="C42">
        <f t="shared" si="10"/>
        <v>296.16</v>
      </c>
      <c r="D42">
        <f t="shared" si="11"/>
        <v>23</v>
      </c>
      <c r="E42" s="13">
        <f t="shared" si="1"/>
        <v>-8.129854132901134</v>
      </c>
      <c r="F42" s="13">
        <f t="shared" si="2"/>
        <v>0.8104267963263116</v>
      </c>
      <c r="G42" s="13">
        <f t="shared" si="3"/>
        <v>6.453149776613598</v>
      </c>
      <c r="H42" s="13">
        <f t="shared" si="4"/>
        <v>-5.540220189858669</v>
      </c>
      <c r="I42" s="13">
        <f t="shared" si="5"/>
        <v>-33.442876473999576</v>
      </c>
      <c r="J42" s="13">
        <f t="shared" si="6"/>
        <v>28.868088191572163</v>
      </c>
      <c r="K42"/>
      <c r="L42" s="2">
        <v>0.75</v>
      </c>
      <c r="M42" s="61">
        <f t="shared" si="0"/>
        <v>-10.182376041845686</v>
      </c>
      <c r="N42" s="4">
        <f t="shared" si="7"/>
        <v>-24.270495832617257</v>
      </c>
      <c r="O42" s="4">
        <f t="shared" si="8"/>
        <v>-23.523896836267852</v>
      </c>
    </row>
    <row r="43" spans="1:15" ht="15">
      <c r="A43"/>
      <c r="B43"/>
      <c r="C43">
        <f t="shared" si="10"/>
        <v>297.16</v>
      </c>
      <c r="D43">
        <f t="shared" si="11"/>
        <v>24</v>
      </c>
      <c r="E43" s="13">
        <f t="shared" si="1"/>
        <v>-8.02210122492933</v>
      </c>
      <c r="F43" s="13">
        <f t="shared" si="2"/>
        <v>0.8585139318885455</v>
      </c>
      <c r="G43" s="13">
        <f t="shared" si="3"/>
        <v>6.264667375338595</v>
      </c>
      <c r="H43" s="13">
        <f t="shared" si="4"/>
        <v>-5.743934582039478</v>
      </c>
      <c r="I43" s="13">
        <f t="shared" si="5"/>
        <v>-33.442876473999576</v>
      </c>
      <c r="J43" s="13">
        <f t="shared" si="6"/>
        <v>28.657325281421954</v>
      </c>
      <c r="K43"/>
      <c r="L43" s="2">
        <v>0.74</v>
      </c>
      <c r="M43" s="61">
        <f t="shared" si="0"/>
        <v>-10.050711682112134</v>
      </c>
      <c r="N43" s="4">
        <f t="shared" si="7"/>
        <v>-24.343416607261027</v>
      </c>
      <c r="O43" s="4">
        <f t="shared" si="8"/>
        <v>-23.555416827459897</v>
      </c>
    </row>
    <row r="44" spans="1:15" ht="15">
      <c r="A44"/>
      <c r="B44"/>
      <c r="C44">
        <f t="shared" si="10"/>
        <v>298.16</v>
      </c>
      <c r="D44">
        <f t="shared" si="11"/>
        <v>25</v>
      </c>
      <c r="E44" s="13">
        <f t="shared" si="1"/>
        <v>-7.915071102763613</v>
      </c>
      <c r="F44" s="13">
        <f t="shared" si="2"/>
        <v>0.9062785081835265</v>
      </c>
      <c r="G44" s="13">
        <f t="shared" si="3"/>
        <v>6.077020413666423</v>
      </c>
      <c r="H44" s="13">
        <f t="shared" si="4"/>
        <v>-5.946241185387446</v>
      </c>
      <c r="I44" s="13">
        <f t="shared" si="5"/>
        <v>-33.442876473999576</v>
      </c>
      <c r="J44" s="13">
        <f t="shared" si="6"/>
        <v>28.448018869598137</v>
      </c>
      <c r="K44"/>
      <c r="L44" s="2">
        <v>0.73</v>
      </c>
      <c r="M44" s="61">
        <f t="shared" si="0"/>
        <v>-9.917238042744803</v>
      </c>
      <c r="N44" s="4">
        <f t="shared" si="7"/>
        <v>-24.417636878722952</v>
      </c>
      <c r="O44" s="4">
        <f t="shared" si="8"/>
        <v>-23.587350903432604</v>
      </c>
    </row>
    <row r="45" spans="1:15" ht="15">
      <c r="A45"/>
      <c r="B45"/>
      <c r="C45">
        <f t="shared" si="10"/>
        <v>299.16</v>
      </c>
      <c r="D45">
        <f t="shared" si="11"/>
        <v>26</v>
      </c>
      <c r="E45" s="13">
        <f t="shared" si="1"/>
        <v>-7.808756518251101</v>
      </c>
      <c r="F45" s="13">
        <f t="shared" si="2"/>
        <v>0.953723759860945</v>
      </c>
      <c r="G45" s="13">
        <f t="shared" si="3"/>
        <v>5.890205049651209</v>
      </c>
      <c r="H45" s="13">
        <f t="shared" si="4"/>
        <v>-6.147154538507005</v>
      </c>
      <c r="I45" s="13">
        <f t="shared" si="5"/>
        <v>-33.442876473999576</v>
      </c>
      <c r="J45" s="13">
        <f t="shared" si="6"/>
        <v>28.240153914460553</v>
      </c>
      <c r="K45"/>
      <c r="L45" s="2">
        <v>0.72</v>
      </c>
      <c r="M45" s="61">
        <f t="shared" si="0"/>
        <v>-9.781904959527466</v>
      </c>
      <c r="N45" s="4">
        <f t="shared" si="7"/>
        <v>-24.49319657311619</v>
      </c>
      <c r="O45" s="4">
        <f t="shared" si="8"/>
        <v>-23.619702534492735</v>
      </c>
    </row>
    <row r="46" spans="1:15" ht="15">
      <c r="A46"/>
      <c r="B46"/>
      <c r="C46">
        <f t="shared" si="10"/>
        <v>300.16</v>
      </c>
      <c r="D46">
        <f t="shared" si="11"/>
        <v>27</v>
      </c>
      <c r="E46" s="13">
        <f t="shared" si="1"/>
        <v>-7.703150319829419</v>
      </c>
      <c r="F46" s="13">
        <f t="shared" si="2"/>
        <v>1.00085287846482</v>
      </c>
      <c r="G46" s="13">
        <f t="shared" si="3"/>
        <v>5.7042174295196535</v>
      </c>
      <c r="H46" s="13">
        <f t="shared" si="4"/>
        <v>-6.346688980552462</v>
      </c>
      <c r="I46" s="13">
        <f t="shared" si="5"/>
        <v>-33.442876473999576</v>
      </c>
      <c r="J46" s="13">
        <f t="shared" si="6"/>
        <v>28.033715580720433</v>
      </c>
      <c r="K46"/>
      <c r="L46" s="2">
        <v>0.71</v>
      </c>
      <c r="M46" s="61">
        <f t="shared" si="0"/>
        <v>-9.644660156219675</v>
      </c>
      <c r="N46" s="4">
        <f t="shared" si="7"/>
        <v>-24.570137392345945</v>
      </c>
      <c r="O46" s="4">
        <f t="shared" si="8"/>
        <v>-23.652476150280776</v>
      </c>
    </row>
    <row r="47" spans="1:15" ht="15">
      <c r="A47"/>
      <c r="B47"/>
      <c r="C47">
        <f t="shared" si="10"/>
        <v>301.16</v>
      </c>
      <c r="D47">
        <f t="shared" si="11"/>
        <v>28</v>
      </c>
      <c r="E47" s="13">
        <f t="shared" si="1"/>
        <v>-7.598245450923094</v>
      </c>
      <c r="F47" s="13">
        <f t="shared" si="2"/>
        <v>1.0476690131491582</v>
      </c>
      <c r="G47" s="13">
        <f t="shared" si="3"/>
        <v>5.519053688948228</v>
      </c>
      <c r="H47" s="13">
        <f t="shared" si="4"/>
        <v>-6.544858654635277</v>
      </c>
      <c r="I47" s="13">
        <f t="shared" si="5"/>
        <v>-33.442876473999576</v>
      </c>
      <c r="J47" s="13">
        <f t="shared" si="6"/>
        <v>27.828689235914304</v>
      </c>
      <c r="K47"/>
      <c r="L47" s="2">
        <v>0.7</v>
      </c>
      <c r="M47" s="61">
        <f t="shared" si="0"/>
        <v>-9.505449124409871</v>
      </c>
      <c r="N47" s="4">
        <f t="shared" si="7"/>
        <v>-24.64850291863376</v>
      </c>
      <c r="O47" s="4">
        <f t="shared" si="8"/>
        <v>-23.685677042559206</v>
      </c>
    </row>
    <row r="48" spans="1:15" ht="15">
      <c r="A48"/>
      <c r="B48"/>
      <c r="C48">
        <f t="shared" si="10"/>
        <v>302.16</v>
      </c>
      <c r="D48">
        <f t="shared" si="11"/>
        <v>29</v>
      </c>
      <c r="E48" s="13">
        <f t="shared" si="1"/>
        <v>-7.494034948371718</v>
      </c>
      <c r="F48" s="13">
        <f t="shared" si="2"/>
        <v>1.0941752713794026</v>
      </c>
      <c r="G48" s="13">
        <f t="shared" si="3"/>
        <v>5.334709954291306</v>
      </c>
      <c r="H48" s="13">
        <f t="shared" si="4"/>
        <v>-6.741677511162281</v>
      </c>
      <c r="I48" s="13">
        <f t="shared" si="5"/>
        <v>-33.442876473999576</v>
      </c>
      <c r="J48" s="13">
        <f t="shared" si="6"/>
        <v>27.625060446951455</v>
      </c>
      <c r="K48"/>
      <c r="L48" s="2">
        <v>0.69</v>
      </c>
      <c r="M48" s="61">
        <f t="shared" si="0"/>
        <v>-9.36421499470763</v>
      </c>
      <c r="N48" s="4">
        <f t="shared" si="7"/>
        <v>-24.728338726749577</v>
      </c>
      <c r="O48" s="4">
        <f t="shared" si="8"/>
        <v>-23.719311290436316</v>
      </c>
    </row>
    <row r="49" spans="3:15" ht="15">
      <c r="C49">
        <f t="shared" si="10"/>
        <v>303.16</v>
      </c>
      <c r="D49">
        <f t="shared" si="11"/>
        <v>30</v>
      </c>
      <c r="E49" s="13">
        <f t="shared" si="1"/>
        <v>-7.390511940889299</v>
      </c>
      <c r="F49" s="13">
        <f t="shared" si="2"/>
        <v>1.1403747196200038</v>
      </c>
      <c r="G49" s="13">
        <f t="shared" si="3"/>
        <v>5.1511823437635496</v>
      </c>
      <c r="H49" s="13">
        <f t="shared" si="4"/>
        <v>-6.937159311106167</v>
      </c>
      <c r="I49" s="13">
        <f t="shared" si="5"/>
        <v>-33.442876473999576</v>
      </c>
      <c r="J49" s="13">
        <f t="shared" si="6"/>
        <v>27.42281497672949</v>
      </c>
      <c r="L49" s="2">
        <v>0.68</v>
      </c>
      <c r="M49" s="61">
        <f aca="true" t="shared" si="12" ref="M49:M80">-1000*(1-10^((LOG(1+L$14/1000)+(L$13-1)*LOG(L49))))</f>
        <v>-9.220898398511812</v>
      </c>
      <c r="N49" s="4">
        <f t="shared" si="7"/>
        <v>-24.80969250465059</v>
      </c>
      <c r="O49" s="4">
        <f t="shared" si="8"/>
        <v>-23.753385703380513</v>
      </c>
    </row>
    <row r="50" spans="12:15" ht="12.75">
      <c r="L50" s="2">
        <v>0.67</v>
      </c>
      <c r="M50" s="61">
        <f t="shared" si="12"/>
        <v>-9.075437319519096</v>
      </c>
      <c r="N50" s="4">
        <f aca="true" t="shared" si="13" ref="N50:N81">L$14+(L$14-M50)/(1-L50)</f>
        <v>-24.892614183275466</v>
      </c>
      <c r="O50" s="4">
        <f aca="true" t="shared" si="14" ref="O50:O81">((L49-L50)*N50+(L$17-L49)*O49)/(L$17-L50)</f>
        <v>-23.787907778528844</v>
      </c>
    </row>
    <row r="51" spans="12:15" ht="12.75">
      <c r="L51" s="2">
        <v>0.66</v>
      </c>
      <c r="M51" s="61">
        <f t="shared" si="12"/>
        <v>-8.927766934042737</v>
      </c>
      <c r="N51" s="4">
        <f t="shared" si="13"/>
        <v>-24.977156076344894</v>
      </c>
      <c r="O51" s="4">
        <f t="shared" si="14"/>
        <v>-23.822885669641078</v>
      </c>
    </row>
    <row r="52" spans="12:15" ht="12.75">
      <c r="L52" s="2">
        <v>0.65</v>
      </c>
      <c r="M52" s="61">
        <f t="shared" si="12"/>
        <v>-8.777819439115152</v>
      </c>
      <c r="N52" s="4">
        <f t="shared" si="13"/>
        <v>-25.063373031099566</v>
      </c>
      <c r="O52" s="4">
        <f t="shared" si="14"/>
        <v>-23.85832816568275</v>
      </c>
    </row>
    <row r="53" spans="12:15" ht="12.75">
      <c r="L53" s="2">
        <v>0.64</v>
      </c>
      <c r="M53" s="61">
        <f t="shared" si="12"/>
        <v>-8.625523867237028</v>
      </c>
      <c r="N53" s="4">
        <f t="shared" si="13"/>
        <v>-25.151322591008256</v>
      </c>
      <c r="O53" s="4">
        <f t="shared" si="14"/>
        <v>-23.894244677497348</v>
      </c>
    </row>
    <row r="54" spans="12:15" ht="12.75">
      <c r="L54" s="2">
        <v>0.63</v>
      </c>
      <c r="M54" s="61">
        <f t="shared" si="12"/>
        <v>-8.470805886506838</v>
      </c>
      <c r="N54" s="4">
        <f t="shared" si="13"/>
        <v>-25.24106517160314</v>
      </c>
      <c r="O54" s="4">
        <f t="shared" si="14"/>
        <v>-23.9306452313921</v>
      </c>
    </row>
    <row r="55" spans="12:15" ht="12.75">
      <c r="L55" s="2">
        <v>0.62</v>
      </c>
      <c r="M55" s="61">
        <f t="shared" si="12"/>
        <v>-8.313587584727111</v>
      </c>
      <c r="N55" s="4">
        <f t="shared" si="13"/>
        <v>-25.33266425071813</v>
      </c>
      <c r="O55" s="4">
        <f t="shared" si="14"/>
        <v>-23.967540468742783</v>
      </c>
    </row>
    <row r="56" spans="12:15" ht="12.75">
      <c r="L56" s="2">
        <v>0.61</v>
      </c>
      <c r="M56" s="61">
        <f t="shared" si="12"/>
        <v>-8.15378723591853</v>
      </c>
      <c r="N56" s="4">
        <f t="shared" si="13"/>
        <v>-25.426186574567872</v>
      </c>
      <c r="O56" s="4">
        <f t="shared" si="14"/>
        <v>-24.004941650943426</v>
      </c>
    </row>
    <row r="57" spans="12:15" ht="12.75">
      <c r="L57" s="2">
        <v>0.6</v>
      </c>
      <c r="M57" s="61">
        <f t="shared" si="12"/>
        <v>-7.9913190474965035</v>
      </c>
      <c r="N57" s="4">
        <f t="shared" si="13"/>
        <v>-25.52170238125874</v>
      </c>
      <c r="O57" s="4">
        <f t="shared" si="14"/>
        <v>-24.04286066920131</v>
      </c>
    </row>
    <row r="58" spans="12:15" ht="12.75">
      <c r="L58" s="2">
        <v>0.59</v>
      </c>
      <c r="M58" s="61">
        <f t="shared" si="12"/>
        <v>-7.8260928861552115</v>
      </c>
      <c r="N58" s="4">
        <f t="shared" si="13"/>
        <v>-25.619285643523874</v>
      </c>
      <c r="O58" s="4">
        <f t="shared" si="14"/>
        <v>-24.081310058818936</v>
      </c>
    </row>
    <row r="59" spans="12:15" ht="12.75">
      <c r="L59" s="2">
        <v>0.58</v>
      </c>
      <c r="M59" s="61">
        <f t="shared" si="12"/>
        <v>-7.658013980270106</v>
      </c>
      <c r="N59" s="4">
        <f t="shared" si="13"/>
        <v>-25.71901433269022</v>
      </c>
      <c r="O59" s="4">
        <f t="shared" si="14"/>
        <v>-24.12030301772063</v>
      </c>
    </row>
    <row r="60" spans="12:15" ht="12.75">
      <c r="L60" s="2">
        <v>0.57</v>
      </c>
      <c r="M60" s="61">
        <f t="shared" si="12"/>
        <v>-7.486982596366154</v>
      </c>
      <c r="N60" s="4">
        <f t="shared" si="13"/>
        <v>-25.820970706125223</v>
      </c>
      <c r="O60" s="4">
        <f t="shared" si="14"/>
        <v>-24.15985342907888</v>
      </c>
    </row>
    <row r="61" spans="12:15" ht="12.75">
      <c r="L61" s="2">
        <v>0.56</v>
      </c>
      <c r="M61" s="61">
        <f t="shared" si="12"/>
        <v>-7.312893686891808</v>
      </c>
      <c r="N61" s="4">
        <f t="shared" si="13"/>
        <v>-25.92524162070044</v>
      </c>
      <c r="O61" s="4">
        <f t="shared" si="14"/>
        <v>-24.199975887979367</v>
      </c>
    </row>
    <row r="62" spans="12:15" ht="12.75">
      <c r="L62" s="2">
        <v>0.55</v>
      </c>
      <c r="M62" s="61">
        <f t="shared" si="12"/>
        <v>-7.1356365061895355</v>
      </c>
      <c r="N62" s="4">
        <f t="shared" si="13"/>
        <v>-26.031918875134366</v>
      </c>
      <c r="O62" s="4">
        <f t="shared" si="14"/>
        <v>-24.240685732138367</v>
      </c>
    </row>
    <row r="63" spans="12:15" ht="12.75">
      <c r="L63" s="2">
        <v>0.54</v>
      </c>
      <c r="M63" s="61">
        <f t="shared" si="12"/>
        <v>-6.955094191154476</v>
      </c>
      <c r="N63" s="4">
        <f t="shared" si="13"/>
        <v>-26.141099584446792</v>
      </c>
      <c r="O63" s="4">
        <f t="shared" si="14"/>
        <v>-24.281999076753767</v>
      </c>
    </row>
    <row r="64" spans="12:15" ht="12.75">
      <c r="L64" s="2">
        <v>0.53</v>
      </c>
      <c r="M64" s="61">
        <f t="shared" si="12"/>
        <v>-6.771143302617744</v>
      </c>
      <c r="N64" s="4">
        <f t="shared" si="13"/>
        <v>-26.252886590175017</v>
      </c>
      <c r="O64" s="4">
        <f t="shared" si="14"/>
        <v>-24.32393285363507</v>
      </c>
    </row>
    <row r="65" spans="12:15" ht="12.75">
      <c r="L65" s="2">
        <v>0.52</v>
      </c>
      <c r="M65" s="61">
        <f t="shared" si="12"/>
        <v>-6.583653322950078</v>
      </c>
      <c r="N65" s="4">
        <f t="shared" si="13"/>
        <v>-26.36738891052067</v>
      </c>
      <c r="O65" s="4">
        <f t="shared" si="14"/>
        <v>-24.366504854820185</v>
      </c>
    </row>
    <row r="66" spans="12:15" ht="12.75">
      <c r="L66" s="2">
        <v>0.51</v>
      </c>
      <c r="M66" s="61">
        <f t="shared" si="12"/>
        <v>-6.392486104782269</v>
      </c>
      <c r="N66" s="4">
        <f t="shared" si="13"/>
        <v>-26.48472223513823</v>
      </c>
      <c r="O66" s="4">
        <f t="shared" si="14"/>
        <v>-24.409733780949125</v>
      </c>
    </row>
    <row r="67" spans="12:15" ht="12.75">
      <c r="L67" s="2">
        <v>0.5</v>
      </c>
      <c r="M67" s="61">
        <f t="shared" si="12"/>
        <v>-6.1974952650164505</v>
      </c>
      <c r="N67" s="4">
        <f t="shared" si="13"/>
        <v>-26.6050094699671</v>
      </c>
      <c r="O67" s="4">
        <f t="shared" si="14"/>
        <v>-24.453639294729488</v>
      </c>
    </row>
    <row r="68" spans="12:15" ht="12.75">
      <c r="L68" s="2">
        <v>0.49</v>
      </c>
      <c r="M68" s="61">
        <f t="shared" si="12"/>
        <v>-5.998525517490361</v>
      </c>
      <c r="N68" s="4">
        <f t="shared" si="13"/>
        <v>-26.728381338254195</v>
      </c>
      <c r="O68" s="4">
        <f t="shared" si="14"/>
        <v>-24.498242079896638</v>
      </c>
    </row>
    <row r="69" spans="12:15" ht="12.75">
      <c r="L69" s="2">
        <v>0.48</v>
      </c>
      <c r="M69" s="61">
        <f t="shared" si="12"/>
        <v>-5.795411936685313</v>
      </c>
      <c r="N69" s="4">
        <f t="shared" si="13"/>
        <v>-26.854977044835934</v>
      </c>
      <c r="O69" s="4">
        <f t="shared" si="14"/>
        <v>-24.543563906145472</v>
      </c>
    </row>
    <row r="70" spans="12:15" ht="12.75">
      <c r="L70" s="2">
        <v>0.47</v>
      </c>
      <c r="M70" s="61">
        <f t="shared" si="12"/>
        <v>-5.587979143751087</v>
      </c>
      <c r="N70" s="4">
        <f t="shared" si="13"/>
        <v>-26.9849450117904</v>
      </c>
      <c r="O70" s="4">
        <f t="shared" si="14"/>
        <v>-24.589627700591603</v>
      </c>
    </row>
    <row r="71" spans="12:15" ht="12.75">
      <c r="L71" s="2">
        <v>0.46</v>
      </c>
      <c r="M71" s="61">
        <f t="shared" si="12"/>
        <v>-5.376040404805993</v>
      </c>
      <c r="N71" s="4">
        <f t="shared" si="13"/>
        <v>-27.118443694803716</v>
      </c>
      <c r="O71" s="4">
        <f t="shared" si="14"/>
        <v>-24.636457626410344</v>
      </c>
    </row>
    <row r="72" spans="12:15" ht="12.75">
      <c r="L72" s="2">
        <v>0.45</v>
      </c>
      <c r="M72" s="61">
        <f t="shared" si="12"/>
        <v>-5.159396629919266</v>
      </c>
      <c r="N72" s="4">
        <f t="shared" si="13"/>
        <v>-27.25564249105588</v>
      </c>
      <c r="O72" s="4">
        <f t="shared" si="14"/>
        <v>-24.6840791694039</v>
      </c>
    </row>
    <row r="73" spans="12:15" ht="12.75">
      <c r="L73" s="2">
        <v>0.44</v>
      </c>
      <c r="M73" s="61">
        <f t="shared" si="12"/>
        <v>-4.937835259355983</v>
      </c>
      <c r="N73" s="4">
        <f t="shared" si="13"/>
        <v>-27.39672275115003</v>
      </c>
      <c r="O73" s="4">
        <f t="shared" si="14"/>
        <v>-24.732519233363654</v>
      </c>
    </row>
    <row r="74" spans="12:15" ht="12.75">
      <c r="L74" s="2">
        <v>0.429999999999999</v>
      </c>
      <c r="M74" s="61">
        <f t="shared" si="12"/>
        <v>-4.711129021505944</v>
      </c>
      <c r="N74" s="4">
        <f t="shared" si="13"/>
        <v>-27.541878909638672</v>
      </c>
      <c r="O74" s="4">
        <f t="shared" si="14"/>
        <v>-24.78180624522814</v>
      </c>
    </row>
    <row r="75" spans="12:15" ht="12.75">
      <c r="L75" s="2">
        <v>0.419999999999999</v>
      </c>
      <c r="M75" s="61">
        <f t="shared" si="12"/>
        <v>-4.479034544339955</v>
      </c>
      <c r="N75" s="4">
        <f t="shared" si="13"/>
        <v>-27.691319751137982</v>
      </c>
      <c r="O75" s="4">
        <f t="shared" si="14"/>
        <v>-24.8319702711921</v>
      </c>
    </row>
    <row r="76" spans="12:15" ht="12.75">
      <c r="L76" s="2">
        <v>0.409999999999999</v>
      </c>
      <c r="M76" s="61">
        <f t="shared" si="12"/>
        <v>-4.241290799175901</v>
      </c>
      <c r="N76" s="4">
        <f t="shared" si="13"/>
        <v>-27.845269831905227</v>
      </c>
      <c r="O76" s="4">
        <f t="shared" si="14"/>
        <v>-24.88304314510249</v>
      </c>
    </row>
    <row r="77" spans="12:15" ht="12.75">
      <c r="L77" s="2">
        <v>0.399999999999999</v>
      </c>
      <c r="M77" s="61">
        <f t="shared" si="12"/>
        <v>-3.997617351857219</v>
      </c>
      <c r="N77" s="4">
        <f t="shared" si="13"/>
        <v>-28.003971080237946</v>
      </c>
      <c r="O77" s="4">
        <f t="shared" si="14"/>
        <v>-24.935058610688078</v>
      </c>
    </row>
    <row r="78" spans="12:15" ht="12.75">
      <c r="L78" s="2">
        <v>0.389999999999999</v>
      </c>
      <c r="M78" s="61">
        <f t="shared" si="12"/>
        <v>-3.747712392028757</v>
      </c>
      <c r="N78" s="4">
        <f t="shared" si="13"/>
        <v>-28.16768460323152</v>
      </c>
      <c r="O78" s="4">
        <f t="shared" si="14"/>
        <v>-24.9880524794183</v>
      </c>
    </row>
    <row r="79" spans="12:15" ht="12.75">
      <c r="L79" s="2">
        <v>0.379999999999999</v>
      </c>
      <c r="M79" s="61">
        <f t="shared" si="12"/>
        <v>-3.491250505853416</v>
      </c>
      <c r="N79" s="4">
        <f t="shared" si="13"/>
        <v>-28.33669273249447</v>
      </c>
      <c r="O79" s="4">
        <f t="shared" si="14"/>
        <v>-25.042062806080818</v>
      </c>
    </row>
    <row r="80" spans="12:15" ht="12.75">
      <c r="L80" s="2">
        <v>0.369999999999999</v>
      </c>
      <c r="M80" s="61">
        <f t="shared" si="12"/>
        <v>-3.2278801510320365</v>
      </c>
      <c r="N80" s="4">
        <f t="shared" si="13"/>
        <v>-28.51130134756817</v>
      </c>
      <c r="O80" s="4">
        <f t="shared" si="14"/>
        <v>-25.097130084517126</v>
      </c>
    </row>
    <row r="81" spans="12:15" ht="12.75">
      <c r="L81" s="2">
        <v>0.359999999999999</v>
      </c>
      <c r="M81" s="61">
        <f aca="true" t="shared" si="15" ref="M81:M107">-1000*(1-10^((LOG(1+L$14/1000)+(L$13-1)*LOG(L81))))</f>
        <v>-2.9572207850802057</v>
      </c>
      <c r="N81" s="4">
        <f t="shared" si="13"/>
        <v>-28.691842523312154</v>
      </c>
      <c r="O81" s="4">
        <f t="shared" si="14"/>
        <v>-25.153297466373296</v>
      </c>
    </row>
    <row r="82" spans="12:15" ht="12.75">
      <c r="L82" s="2">
        <v>0.349999999999999</v>
      </c>
      <c r="M82" s="61">
        <f t="shared" si="15"/>
        <v>-2.6788595881315214</v>
      </c>
      <c r="N82" s="4">
        <f aca="true" t="shared" si="16" ref="N82:N107">L$14+(L$14-M82)/(1-L82)</f>
        <v>-28.87867755672071</v>
      </c>
      <c r="O82" s="4">
        <f aca="true" t="shared" si="17" ref="O82:O107">((L81-L82)*N82+(L$17-L81)*O81)/(L$17-L82)</f>
        <v>-25.210611006224795</v>
      </c>
    </row>
    <row r="83" spans="12:15" ht="12.75">
      <c r="L83" s="2">
        <v>0.339999999999999</v>
      </c>
      <c r="M83" s="61">
        <f t="shared" si="15"/>
        <v>-2.392347709588738</v>
      </c>
      <c r="N83" s="4">
        <f t="shared" si="16"/>
        <v>-29.07220044001704</v>
      </c>
      <c r="O83" s="4">
        <f t="shared" si="17"/>
        <v>-25.26911993703983</v>
      </c>
    </row>
    <row r="84" spans="12:15" ht="12.75">
      <c r="L84" s="2">
        <v>0.329999999999999</v>
      </c>
      <c r="M84" s="61">
        <f t="shared" si="15"/>
        <v>-2.097195953149056</v>
      </c>
      <c r="N84" s="4">
        <f t="shared" si="16"/>
        <v>-29.272841860971532</v>
      </c>
      <c r="O84" s="4">
        <f t="shared" si="17"/>
        <v>-25.3288769806806</v>
      </c>
    </row>
    <row r="85" spans="12:15" ht="12.75">
      <c r="L85" s="2">
        <v>0.319999999999999</v>
      </c>
      <c r="M85" s="61">
        <f t="shared" si="15"/>
        <v>-1.7928697962794615</v>
      </c>
      <c r="N85" s="4">
        <f t="shared" si="16"/>
        <v>-29.481073829000767</v>
      </c>
      <c r="O85" s="4">
        <f t="shared" si="17"/>
        <v>-25.389938699038247</v>
      </c>
    </row>
    <row r="86" spans="12:15" ht="12.75">
      <c r="L86" s="2">
        <v>0.309999999999999</v>
      </c>
      <c r="M86" s="61">
        <f t="shared" si="15"/>
        <v>-1.4787836170737645</v>
      </c>
      <c r="N86" s="4">
        <f t="shared" si="16"/>
        <v>-29.697415047719158</v>
      </c>
      <c r="O86" s="4">
        <f t="shared" si="17"/>
        <v>-25.45236589249739</v>
      </c>
    </row>
    <row r="87" spans="12:15" ht="12.75">
      <c r="L87" s="2">
        <v>0.299999999999999</v>
      </c>
      <c r="M87" s="61">
        <f t="shared" si="15"/>
        <v>-1.1542939721933543</v>
      </c>
      <c r="N87" s="4">
        <f t="shared" si="16"/>
        <v>-29.922437182580897</v>
      </c>
      <c r="O87" s="4">
        <f t="shared" si="17"/>
        <v>-25.516224053784295</v>
      </c>
    </row>
    <row r="88" spans="12:15" ht="12.75">
      <c r="L88" s="2">
        <v>0.289999999999999</v>
      </c>
      <c r="M88" s="61">
        <f t="shared" si="15"/>
        <v>-0.8186917324257692</v>
      </c>
      <c r="N88" s="4">
        <f t="shared" si="16"/>
        <v>-30.156772207851002</v>
      </c>
      <c r="O88" s="4">
        <f t="shared" si="17"/>
        <v>-25.581583886940162</v>
      </c>
    </row>
    <row r="89" spans="12:15" ht="12.75">
      <c r="L89" s="2">
        <v>0.279999999999999</v>
      </c>
      <c r="M89" s="61">
        <f t="shared" si="15"/>
        <v>-0.4711928347619354</v>
      </c>
      <c r="N89" s="4">
        <f t="shared" si="16"/>
        <v>-30.40112106283062</v>
      </c>
      <c r="O89" s="4">
        <f t="shared" si="17"/>
        <v>-25.648521903271973</v>
      </c>
    </row>
    <row r="90" spans="12:15" ht="12.75">
      <c r="L90" s="2">
        <v>0.269999999999999</v>
      </c>
      <c r="M90" s="61">
        <f t="shared" si="15"/>
        <v>-0.11092734838247242</v>
      </c>
      <c r="N90" s="4">
        <f t="shared" si="16"/>
        <v>-30.656263906325357</v>
      </c>
      <c r="O90" s="4">
        <f t="shared" si="17"/>
        <v>-25.717121108793254</v>
      </c>
    </row>
    <row r="91" spans="12:15" ht="12.75">
      <c r="L91" s="2">
        <v>0.259999999999999</v>
      </c>
      <c r="M91" s="61">
        <f t="shared" si="15"/>
        <v>0.2630735281954344</v>
      </c>
      <c r="N91" s="4">
        <f t="shared" si="16"/>
        <v>-30.923072335399212</v>
      </c>
      <c r="O91" s="4">
        <f t="shared" si="17"/>
        <v>-25.787471801044685</v>
      </c>
    </row>
    <row r="92" spans="12:15" ht="12.75">
      <c r="L92" s="2">
        <v>0.249999999999999</v>
      </c>
      <c r="M92" s="61">
        <f t="shared" si="15"/>
        <v>0.6518930268766265</v>
      </c>
      <c r="N92" s="4">
        <f t="shared" si="16"/>
        <v>-31.202524035835477</v>
      </c>
      <c r="O92" s="4">
        <f t="shared" si="17"/>
        <v>-25.859672497508562</v>
      </c>
    </row>
    <row r="93" spans="12:15" ht="12.75">
      <c r="L93" s="2">
        <v>0.239999999999999</v>
      </c>
      <c r="M93" s="61">
        <f t="shared" si="15"/>
        <v>1.0567475545437688</v>
      </c>
      <c r="N93" s="4">
        <f t="shared" si="16"/>
        <v>-31.495720466504935</v>
      </c>
      <c r="O93" s="4">
        <f t="shared" si="17"/>
        <v>-25.93383102341641</v>
      </c>
    </row>
    <row r="94" spans="12:15" ht="12.75">
      <c r="L94" s="2">
        <v>0.229999999999999</v>
      </c>
      <c r="M94" s="61">
        <f t="shared" si="15"/>
        <v>1.4790094378227536</v>
      </c>
      <c r="N94" s="4">
        <f t="shared" si="16"/>
        <v>-31.803908360808745</v>
      </c>
      <c r="O94" s="4">
        <f t="shared" si="17"/>
        <v>-26.010065794031895</v>
      </c>
    </row>
    <row r="95" spans="12:15" ht="12.75">
      <c r="L95" s="2">
        <v>0.219999999999999</v>
      </c>
      <c r="M95" s="61">
        <f t="shared" si="15"/>
        <v>1.9202347378590723</v>
      </c>
      <c r="N95" s="4">
        <f t="shared" si="16"/>
        <v>-32.128506074178276</v>
      </c>
      <c r="O95" s="4">
        <f t="shared" si="17"/>
        <v>-26.088507336085055</v>
      </c>
    </row>
    <row r="96" spans="12:15" ht="12.75">
      <c r="L96" s="2">
        <v>0.209999999999999</v>
      </c>
      <c r="M96" s="61">
        <f t="shared" si="15"/>
        <v>2.382197554229082</v>
      </c>
      <c r="N96" s="4">
        <f t="shared" si="16"/>
        <v>-32.47113614459375</v>
      </c>
      <c r="O96" s="4">
        <f t="shared" si="17"/>
        <v>-26.16930010581301</v>
      </c>
    </row>
    <row r="97" spans="12:15" ht="12.75">
      <c r="L97" s="2">
        <v>0.199999999999999</v>
      </c>
      <c r="M97" s="61">
        <f t="shared" si="15"/>
        <v>2.8669327231367614</v>
      </c>
      <c r="N97" s="4">
        <f t="shared" si="16"/>
        <v>-32.83366590392093</v>
      </c>
      <c r="O97" s="4">
        <f t="shared" si="17"/>
        <v>-26.252604678289366</v>
      </c>
    </row>
    <row r="98" spans="12:15" ht="12.75">
      <c r="L98" s="2">
        <v>0.189999999999999</v>
      </c>
      <c r="M98" s="61">
        <f t="shared" si="15"/>
        <v>3.376789501123856</v>
      </c>
      <c r="N98" s="4">
        <f t="shared" si="16"/>
        <v>-33.21825864336276</v>
      </c>
      <c r="O98" s="4">
        <f t="shared" si="17"/>
        <v>-26.338600406253235</v>
      </c>
    </row>
    <row r="99" spans="12:15" ht="12.75">
      <c r="L99" s="2">
        <v>0.179999999999999</v>
      </c>
      <c r="M99" s="61">
        <f t="shared" si="15"/>
        <v>3.914499809236638</v>
      </c>
      <c r="N99" s="4">
        <f t="shared" si="16"/>
        <v>-33.62743879175197</v>
      </c>
      <c r="O99" s="4">
        <f t="shared" si="17"/>
        <v>-26.42748867924712</v>
      </c>
    </row>
    <row r="100" spans="12:15" ht="12.75">
      <c r="L100" s="2">
        <v>0.169999999999999</v>
      </c>
      <c r="M100" s="61">
        <f t="shared" si="15"/>
        <v>4.483266047616397</v>
      </c>
      <c r="N100" s="4">
        <f t="shared" si="16"/>
        <v>-34.06417596098359</v>
      </c>
      <c r="O100" s="4">
        <f t="shared" si="17"/>
        <v>-26.51949695974997</v>
      </c>
    </row>
    <row r="101" spans="12:15" ht="12.75">
      <c r="L101" s="2">
        <v>0.159999999999999</v>
      </c>
      <c r="M101" s="61">
        <f t="shared" si="15"/>
        <v>5.0868756238879875</v>
      </c>
      <c r="N101" s="4">
        <f t="shared" si="16"/>
        <v>-34.53199479034282</v>
      </c>
      <c r="O101" s="4">
        <f t="shared" si="17"/>
        <v>-26.614883838685596</v>
      </c>
    </row>
    <row r="102" spans="12:15" ht="12.75">
      <c r="L102" s="2">
        <v>0.149999999999999</v>
      </c>
      <c r="M102" s="61">
        <f t="shared" si="15"/>
        <v>5.729852577727845</v>
      </c>
      <c r="N102" s="4">
        <f t="shared" si="16"/>
        <v>-35.03512067967979</v>
      </c>
      <c r="O102" s="4">
        <f t="shared" si="17"/>
        <v>-26.713945448579643</v>
      </c>
    </row>
    <row r="103" spans="12:15" ht="12.75">
      <c r="L103" s="2">
        <v>0.139999999999999</v>
      </c>
      <c r="M103" s="61">
        <f t="shared" si="15"/>
        <v>6.4176617179168005</v>
      </c>
      <c r="N103" s="4">
        <f t="shared" si="16"/>
        <v>-35.578676416182304</v>
      </c>
      <c r="O103" s="4">
        <f t="shared" si="17"/>
        <v>-26.81702371564479</v>
      </c>
    </row>
    <row r="104" spans="12:15" ht="12.75">
      <c r="L104" s="2">
        <v>0.129999999999999</v>
      </c>
      <c r="M104" s="61">
        <f t="shared" si="15"/>
        <v>7.156988719588364</v>
      </c>
      <c r="N104" s="4">
        <f t="shared" si="16"/>
        <v>-36.16895255125097</v>
      </c>
      <c r="O104" s="4">
        <f t="shared" si="17"/>
        <v>-26.92451715053682</v>
      </c>
    </row>
    <row r="105" spans="12:15" ht="12.75">
      <c r="L105" s="2">
        <v>0.119999999999999</v>
      </c>
      <c r="M105" s="61">
        <f t="shared" si="15"/>
        <v>7.956132828330187</v>
      </c>
      <c r="N105" s="4">
        <f t="shared" si="16"/>
        <v>-36.81378730492064</v>
      </c>
      <c r="O105" s="4">
        <f t="shared" si="17"/>
        <v>-27.036895220472996</v>
      </c>
    </row>
    <row r="106" spans="12:15" ht="12.75">
      <c r="L106" s="2">
        <v>0.109999999999999</v>
      </c>
      <c r="M106" s="61">
        <f t="shared" si="15"/>
        <v>8.825571253441966</v>
      </c>
      <c r="N106" s="4">
        <f t="shared" si="16"/>
        <v>-37.52311376791229</v>
      </c>
      <c r="O106" s="4">
        <f t="shared" si="17"/>
        <v>-27.154717900781304</v>
      </c>
    </row>
    <row r="107" spans="12:15" ht="12.75">
      <c r="L107" s="2">
        <v>0.099999999999999</v>
      </c>
      <c r="M107" s="61">
        <f t="shared" si="15"/>
        <v>9.778793977855749</v>
      </c>
      <c r="N107" s="4">
        <f t="shared" si="16"/>
        <v>-38.30977108650636</v>
      </c>
      <c r="O107" s="4">
        <f t="shared" si="17"/>
        <v>-27.278662936178247</v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9"/>
  <sheetViews>
    <sheetView zoomScalePageLayoutView="0" workbookViewId="0" topLeftCell="A65">
      <selection activeCell="O92" sqref="O92:P93"/>
    </sheetView>
  </sheetViews>
  <sheetFormatPr defaultColWidth="9.140625" defaultRowHeight="15"/>
  <cols>
    <col min="1" max="1" width="9.140625" style="17" customWidth="1"/>
    <col min="2" max="2" width="20.7109375" style="17" customWidth="1"/>
    <col min="3" max="3" width="10.57421875" style="17" customWidth="1"/>
    <col min="4" max="5" width="9.140625" style="17" customWidth="1"/>
    <col min="6" max="6" width="12.57421875" style="17" customWidth="1"/>
    <col min="7" max="7" width="9.140625" style="17" customWidth="1"/>
    <col min="8" max="8" width="19.140625" style="17" customWidth="1"/>
    <col min="9" max="9" width="14.57421875" style="17" customWidth="1"/>
    <col min="10" max="10" width="9.140625" style="18" customWidth="1"/>
    <col min="11" max="12" width="9.140625" style="17" customWidth="1"/>
    <col min="13" max="13" width="13.28125" style="17" customWidth="1"/>
    <col min="14" max="16384" width="9.140625" style="17" customWidth="1"/>
  </cols>
  <sheetData>
    <row r="1" spans="1:25" s="15" customFormat="1" ht="18">
      <c r="A1" s="15" t="s">
        <v>55</v>
      </c>
      <c r="Q1" s="15" t="s">
        <v>41</v>
      </c>
      <c r="Y1" s="16"/>
    </row>
    <row r="2" spans="8:25" ht="12.75">
      <c r="H2" s="19" t="s">
        <v>72</v>
      </c>
      <c r="S2" s="17" t="s">
        <v>42</v>
      </c>
      <c r="Y2" s="18"/>
    </row>
    <row r="3" spans="9:25" ht="12.75">
      <c r="I3" s="17">
        <v>500</v>
      </c>
      <c r="J3" s="18">
        <v>1000</v>
      </c>
      <c r="K3" s="18">
        <v>1400</v>
      </c>
      <c r="L3" s="18"/>
      <c r="M3" s="18"/>
      <c r="N3" s="18"/>
      <c r="S3" s="17" t="s">
        <v>43</v>
      </c>
      <c r="Y3" s="18"/>
    </row>
    <row r="4" spans="9:25" ht="12.75">
      <c r="I4" s="19" t="s">
        <v>75</v>
      </c>
      <c r="M4" s="27" t="s">
        <v>76</v>
      </c>
      <c r="N4" s="26"/>
      <c r="O4" s="26"/>
      <c r="S4" s="17" t="s">
        <v>44</v>
      </c>
      <c r="Y4" s="18"/>
    </row>
    <row r="5" spans="1:25" ht="12.75">
      <c r="A5" s="19" t="s">
        <v>59</v>
      </c>
      <c r="C5" s="19" t="s">
        <v>61</v>
      </c>
      <c r="D5" s="19" t="s">
        <v>5</v>
      </c>
      <c r="E5" s="20" t="s">
        <v>24</v>
      </c>
      <c r="F5" s="19" t="s">
        <v>19</v>
      </c>
      <c r="G5" s="19" t="s">
        <v>60</v>
      </c>
      <c r="H5" s="17" t="s">
        <v>73</v>
      </c>
      <c r="I5" s="17">
        <f>-LOG(I3/1000000)</f>
        <v>3.3010299956639813</v>
      </c>
      <c r="J5" s="18">
        <v>3</v>
      </c>
      <c r="K5" s="17">
        <f>-LOG(K3/1000000)</f>
        <v>2.853871964321762</v>
      </c>
      <c r="M5" s="17">
        <v>3.3010299956639813</v>
      </c>
      <c r="N5" s="18">
        <v>3</v>
      </c>
      <c r="O5" s="17">
        <v>2.853871964321762</v>
      </c>
      <c r="Q5" s="17" t="s">
        <v>45</v>
      </c>
      <c r="Y5" s="18"/>
    </row>
    <row r="6" spans="1:25" ht="12.75">
      <c r="A6" s="19" t="s">
        <v>56</v>
      </c>
      <c r="B6" s="19" t="s">
        <v>57</v>
      </c>
      <c r="C6" s="19"/>
      <c r="D6" s="19" t="s">
        <v>66</v>
      </c>
      <c r="V6" s="17" t="s">
        <v>46</v>
      </c>
      <c r="X6" s="17" t="s">
        <v>47</v>
      </c>
      <c r="Y6" s="18"/>
    </row>
    <row r="7" spans="1:25" ht="12.75">
      <c r="A7" s="19" t="s">
        <v>58</v>
      </c>
      <c r="C7" s="17">
        <v>0.0005</v>
      </c>
      <c r="D7" s="17">
        <v>6.5</v>
      </c>
      <c r="E7" s="17">
        <v>3.45</v>
      </c>
      <c r="F7" s="17">
        <v>27.58</v>
      </c>
      <c r="G7" s="17">
        <v>84.29</v>
      </c>
      <c r="Q7" s="17" t="s">
        <v>48</v>
      </c>
      <c r="R7" s="17" t="s">
        <v>49</v>
      </c>
      <c r="S7" s="17" t="s">
        <v>50</v>
      </c>
      <c r="U7" s="17" t="s">
        <v>48</v>
      </c>
      <c r="V7" s="17" t="s">
        <v>49</v>
      </c>
      <c r="W7" s="17" t="s">
        <v>50</v>
      </c>
      <c r="Y7" s="18" t="s">
        <v>51</v>
      </c>
    </row>
    <row r="8" spans="1:25" ht="12.75">
      <c r="A8" s="19" t="s">
        <v>62</v>
      </c>
      <c r="C8" s="17">
        <v>0.0006</v>
      </c>
      <c r="D8" s="17">
        <v>6.5</v>
      </c>
      <c r="E8" s="17">
        <v>3.3</v>
      </c>
      <c r="F8" s="17">
        <v>31.18</v>
      </c>
      <c r="G8" s="17">
        <v>95.88</v>
      </c>
      <c r="I8" s="19"/>
      <c r="Q8" s="17">
        <v>0</v>
      </c>
      <c r="R8" s="17">
        <f aca="true" t="shared" si="0" ref="R8:R40">Q8+273.15</f>
        <v>273.15</v>
      </c>
      <c r="S8" s="17">
        <f aca="true" t="shared" si="1" ref="S8:S40">-171.9065-0.077993*R8+2839.19/R8+71.595*LOG(R8)</f>
        <v>-8.381891446363511</v>
      </c>
      <c r="U8" s="17">
        <v>0</v>
      </c>
      <c r="V8" s="17">
        <f aca="true" t="shared" si="2" ref="V8:V40">U8+273.15</f>
        <v>273.15</v>
      </c>
      <c r="W8" s="17">
        <f aca="true" t="shared" si="3" ref="W8:W40">13.87-0.04035*V8-3059/V8</f>
        <v>-8.350577422203918</v>
      </c>
      <c r="Y8" s="18">
        <f aca="true" t="shared" si="4" ref="Y8:Y40">W8-S8</f>
        <v>0.0313140241595935</v>
      </c>
    </row>
    <row r="9" spans="1:25" ht="12.75">
      <c r="A9" s="19"/>
      <c r="C9" s="17">
        <v>0.0007</v>
      </c>
      <c r="D9" s="17">
        <v>6.5</v>
      </c>
      <c r="E9" s="17">
        <v>3.16</v>
      </c>
      <c r="F9" s="17">
        <v>34.71</v>
      </c>
      <c r="G9" s="17">
        <v>107.36</v>
      </c>
      <c r="Q9" s="17">
        <v>1</v>
      </c>
      <c r="R9" s="17">
        <f t="shared" si="0"/>
        <v>274.15</v>
      </c>
      <c r="S9" s="17">
        <f t="shared" si="1"/>
        <v>-8.384174404241833</v>
      </c>
      <c r="U9" s="17">
        <v>1</v>
      </c>
      <c r="V9" s="17">
        <f t="shared" si="2"/>
        <v>274.15</v>
      </c>
      <c r="W9" s="17">
        <f t="shared" si="3"/>
        <v>-8.350077613988693</v>
      </c>
      <c r="Y9" s="18">
        <f t="shared" si="4"/>
        <v>0.034096790253139275</v>
      </c>
    </row>
    <row r="10" spans="1:25" ht="12.75">
      <c r="A10" s="19" t="s">
        <v>71</v>
      </c>
      <c r="C10" s="17">
        <v>0.0008</v>
      </c>
      <c r="D10" s="17">
        <v>6.5</v>
      </c>
      <c r="E10" s="17">
        <v>3.04</v>
      </c>
      <c r="F10" s="17">
        <v>38.17</v>
      </c>
      <c r="G10" s="17">
        <v>118.72</v>
      </c>
      <c r="Q10" s="17">
        <v>2</v>
      </c>
      <c r="R10" s="17">
        <f t="shared" si="0"/>
        <v>275.15</v>
      </c>
      <c r="S10" s="17">
        <f t="shared" si="1"/>
        <v>-8.386595478334243</v>
      </c>
      <c r="U10" s="17">
        <v>2</v>
      </c>
      <c r="V10" s="17">
        <f t="shared" si="2"/>
        <v>275.15</v>
      </c>
      <c r="W10" s="17">
        <f t="shared" si="3"/>
        <v>-8.349874733327276</v>
      </c>
      <c r="Y10" s="18">
        <f t="shared" si="4"/>
        <v>0.03672074500696709</v>
      </c>
    </row>
    <row r="11" spans="1:25" ht="12.75">
      <c r="A11" s="19">
        <v>10</v>
      </c>
      <c r="C11" s="17">
        <v>0.0009</v>
      </c>
      <c r="D11" s="17">
        <v>6.5</v>
      </c>
      <c r="E11" s="17">
        <v>2.94</v>
      </c>
      <c r="F11" s="17">
        <v>41.56</v>
      </c>
      <c r="G11" s="17">
        <v>129.98</v>
      </c>
      <c r="Q11" s="17">
        <v>3</v>
      </c>
      <c r="R11" s="17">
        <f t="shared" si="0"/>
        <v>276.15</v>
      </c>
      <c r="S11" s="17">
        <f t="shared" si="1"/>
        <v>-8.389154660874283</v>
      </c>
      <c r="U11" s="17">
        <v>3</v>
      </c>
      <c r="V11" s="17">
        <f t="shared" si="2"/>
        <v>276.15</v>
      </c>
      <c r="W11" s="17">
        <f t="shared" si="3"/>
        <v>-8.349965554499367</v>
      </c>
      <c r="Y11" s="18">
        <f t="shared" si="4"/>
        <v>0.03918910637491635</v>
      </c>
    </row>
    <row r="12" spans="3:25" ht="12.75">
      <c r="C12" s="17">
        <v>0.001</v>
      </c>
      <c r="D12" s="17">
        <v>6.5</v>
      </c>
      <c r="E12" s="17">
        <v>2.84</v>
      </c>
      <c r="F12" s="17">
        <v>44.86</v>
      </c>
      <c r="G12" s="17">
        <v>141.11</v>
      </c>
      <c r="Q12" s="17">
        <v>4</v>
      </c>
      <c r="R12" s="17">
        <f t="shared" si="0"/>
        <v>277.15</v>
      </c>
      <c r="S12" s="17">
        <f t="shared" si="1"/>
        <v>-8.391851933435817</v>
      </c>
      <c r="U12" s="17">
        <v>4</v>
      </c>
      <c r="V12" s="17">
        <f t="shared" si="2"/>
        <v>277.15</v>
      </c>
      <c r="W12" s="17">
        <f t="shared" si="3"/>
        <v>-8.35034689834025</v>
      </c>
      <c r="Y12" s="18">
        <f t="shared" si="4"/>
        <v>0.041505035095566356</v>
      </c>
    </row>
    <row r="13" spans="1:25" ht="12.75">
      <c r="A13" s="19" t="s">
        <v>63</v>
      </c>
      <c r="C13" s="24">
        <v>0.0011</v>
      </c>
      <c r="D13" s="24">
        <v>6.5</v>
      </c>
      <c r="E13" s="24">
        <v>2.76</v>
      </c>
      <c r="F13" s="24">
        <v>48.09</v>
      </c>
      <c r="G13" s="24">
        <v>152.14</v>
      </c>
      <c r="H13" s="25">
        <f>3.125*E13-21.824</f>
        <v>-13.199000000000002</v>
      </c>
      <c r="I13" s="17">
        <v>146.06</v>
      </c>
      <c r="J13" s="18">
        <v>148.9</v>
      </c>
      <c r="K13" s="17">
        <v>150.66</v>
      </c>
      <c r="L13" s="17">
        <v>1</v>
      </c>
      <c r="M13" s="17">
        <f>I13/$G13</f>
        <v>0.9600368082029711</v>
      </c>
      <c r="N13" s="17">
        <f>J13/$G13</f>
        <v>0.9787038254239517</v>
      </c>
      <c r="O13" s="17">
        <f>K13/$G13</f>
        <v>0.9902721177862496</v>
      </c>
      <c r="Q13" s="17">
        <v>5</v>
      </c>
      <c r="R13" s="17">
        <f t="shared" si="0"/>
        <v>278.15</v>
      </c>
      <c r="S13" s="17">
        <f t="shared" si="1"/>
        <v>-8.394687267240784</v>
      </c>
      <c r="U13" s="17">
        <v>5</v>
      </c>
      <c r="V13" s="17">
        <f t="shared" si="2"/>
        <v>278.15</v>
      </c>
      <c r="W13" s="17">
        <f t="shared" si="3"/>
        <v>-8.35101563140392</v>
      </c>
      <c r="Y13" s="18">
        <f t="shared" si="4"/>
        <v>0.04367163583686384</v>
      </c>
    </row>
    <row r="14" spans="1:25" ht="12.75">
      <c r="A14" s="19"/>
      <c r="C14" s="17">
        <v>0.0012</v>
      </c>
      <c r="D14" s="17">
        <v>6.5</v>
      </c>
      <c r="E14" s="17">
        <v>2.68</v>
      </c>
      <c r="F14" s="17">
        <v>51.25</v>
      </c>
      <c r="G14" s="17">
        <v>163.04</v>
      </c>
      <c r="H14" s="22">
        <f aca="true" t="shared" si="5" ref="H14:H48">3.125*E14-21.824</f>
        <v>-13.449000000000002</v>
      </c>
      <c r="Q14" s="17">
        <v>6</v>
      </c>
      <c r="R14" s="17">
        <f t="shared" si="0"/>
        <v>279.15</v>
      </c>
      <c r="S14" s="17">
        <f t="shared" si="1"/>
        <v>-8.397660623459018</v>
      </c>
      <c r="U14" s="17">
        <v>6</v>
      </c>
      <c r="V14" s="17">
        <f t="shared" si="2"/>
        <v>279.15</v>
      </c>
      <c r="W14" s="17">
        <f t="shared" si="3"/>
        <v>-8.351968665144188</v>
      </c>
      <c r="Y14" s="18">
        <f t="shared" si="4"/>
        <v>0.04569195831482986</v>
      </c>
    </row>
    <row r="15" spans="1:25" ht="12.75">
      <c r="A15" s="19"/>
      <c r="C15" s="17">
        <v>0.0013</v>
      </c>
      <c r="D15" s="17">
        <v>6.5</v>
      </c>
      <c r="E15" s="17">
        <v>2.6</v>
      </c>
      <c r="F15" s="17">
        <v>54.33</v>
      </c>
      <c r="G15" s="17">
        <v>173.83</v>
      </c>
      <c r="H15" s="22">
        <f t="shared" si="5"/>
        <v>-13.699000000000002</v>
      </c>
      <c r="Q15" s="17">
        <v>7</v>
      </c>
      <c r="R15" s="17">
        <f t="shared" si="0"/>
        <v>280.15</v>
      </c>
      <c r="S15" s="17">
        <f t="shared" si="1"/>
        <v>-8.400771953499202</v>
      </c>
      <c r="U15" s="17">
        <v>7</v>
      </c>
      <c r="V15" s="17">
        <f t="shared" si="2"/>
        <v>280.15</v>
      </c>
      <c r="W15" s="17">
        <f t="shared" si="3"/>
        <v>-8.353202955113332</v>
      </c>
      <c r="Y15" s="18">
        <f t="shared" si="4"/>
        <v>0.04756899838587003</v>
      </c>
    </row>
    <row r="16" spans="1:25" ht="12.75">
      <c r="A16" s="19"/>
      <c r="C16" s="17">
        <v>0.0014</v>
      </c>
      <c r="D16" s="17">
        <v>6.5</v>
      </c>
      <c r="E16" s="17">
        <v>2.54</v>
      </c>
      <c r="F16" s="17">
        <v>57.34</v>
      </c>
      <c r="G16" s="17">
        <v>184.52</v>
      </c>
      <c r="H16" s="22">
        <f t="shared" si="5"/>
        <v>-13.886500000000002</v>
      </c>
      <c r="Q16" s="17">
        <v>8</v>
      </c>
      <c r="R16" s="17">
        <f t="shared" si="0"/>
        <v>281.15</v>
      </c>
      <c r="S16" s="17">
        <f t="shared" si="1"/>
        <v>-8.404021199293197</v>
      </c>
      <c r="U16" s="17">
        <v>8</v>
      </c>
      <c r="V16" s="17">
        <f t="shared" si="2"/>
        <v>281.15</v>
      </c>
      <c r="W16" s="17">
        <f t="shared" si="3"/>
        <v>-8.354715500177841</v>
      </c>
      <c r="Y16" s="18">
        <f t="shared" si="4"/>
        <v>0.049305699115356205</v>
      </c>
    </row>
    <row r="17" spans="1:25" ht="12.75">
      <c r="A17" s="19"/>
      <c r="C17" s="17">
        <v>0.0015</v>
      </c>
      <c r="D17" s="17">
        <v>6.5</v>
      </c>
      <c r="E17" s="17">
        <v>2.48</v>
      </c>
      <c r="F17" s="17">
        <v>60.29</v>
      </c>
      <c r="G17" s="17">
        <v>195.1</v>
      </c>
      <c r="H17" s="22">
        <f t="shared" si="5"/>
        <v>-14.074000000000002</v>
      </c>
      <c r="Q17" s="17">
        <v>9</v>
      </c>
      <c r="R17" s="17">
        <f t="shared" si="0"/>
        <v>282.15</v>
      </c>
      <c r="S17" s="17">
        <f t="shared" si="1"/>
        <v>-8.40740829357145</v>
      </c>
      <c r="U17" s="17">
        <v>9</v>
      </c>
      <c r="V17" s="17">
        <f t="shared" si="2"/>
        <v>282.15</v>
      </c>
      <c r="W17" s="17">
        <f t="shared" si="3"/>
        <v>-8.356503341750841</v>
      </c>
      <c r="Y17" s="18">
        <f t="shared" si="4"/>
        <v>0.05090495182060906</v>
      </c>
    </row>
    <row r="18" spans="1:25" ht="12.75">
      <c r="A18" s="19" t="s">
        <v>65</v>
      </c>
      <c r="C18" s="24">
        <v>0.001785</v>
      </c>
      <c r="D18" s="24">
        <v>6.5</v>
      </c>
      <c r="E18" s="24">
        <v>2.31</v>
      </c>
      <c r="F18" s="24">
        <v>69.14</v>
      </c>
      <c r="G18" s="24">
        <v>227.8</v>
      </c>
      <c r="H18" s="25">
        <f t="shared" si="5"/>
        <v>-14.605250000000002</v>
      </c>
      <c r="I18" s="17">
        <v>207.48</v>
      </c>
      <c r="J18" s="18">
        <v>211.57</v>
      </c>
      <c r="K18" s="17">
        <v>213.76</v>
      </c>
      <c r="L18" s="17">
        <v>1</v>
      </c>
      <c r="M18" s="17">
        <f>I18/$G18</f>
        <v>0.9107989464442493</v>
      </c>
      <c r="N18" s="17">
        <f>J18/$G18</f>
        <v>0.9287532923617208</v>
      </c>
      <c r="O18" s="17">
        <f>K18/$G18</f>
        <v>0.9383669885864793</v>
      </c>
      <c r="Q18" s="17">
        <v>10</v>
      </c>
      <c r="R18" s="17">
        <f t="shared" si="0"/>
        <v>283.15</v>
      </c>
      <c r="S18" s="17">
        <f t="shared" si="1"/>
        <v>-8.410933160132117</v>
      </c>
      <c r="U18" s="17">
        <v>10</v>
      </c>
      <c r="V18" s="17">
        <f t="shared" si="2"/>
        <v>283.15</v>
      </c>
      <c r="W18" s="17">
        <f t="shared" si="3"/>
        <v>-8.358563563040791</v>
      </c>
      <c r="Y18" s="18">
        <f t="shared" si="4"/>
        <v>0.05236959709132627</v>
      </c>
    </row>
    <row r="19" spans="1:25" ht="12.75">
      <c r="A19" s="19"/>
      <c r="C19" s="17">
        <v>0.002</v>
      </c>
      <c r="D19" s="17">
        <v>6.5</v>
      </c>
      <c r="E19" s="17">
        <v>2.23</v>
      </c>
      <c r="F19" s="17">
        <v>74.03</v>
      </c>
      <c r="G19" s="17">
        <v>246.54</v>
      </c>
      <c r="H19" s="22">
        <f t="shared" si="5"/>
        <v>-14.855250000000002</v>
      </c>
      <c r="Q19" s="17">
        <v>11</v>
      </c>
      <c r="R19" s="17">
        <f t="shared" si="0"/>
        <v>284.15</v>
      </c>
      <c r="S19" s="17">
        <f t="shared" si="1"/>
        <v>-8.414595714102376</v>
      </c>
      <c r="U19" s="17">
        <v>11</v>
      </c>
      <c r="V19" s="17">
        <f t="shared" si="2"/>
        <v>284.15</v>
      </c>
      <c r="W19" s="17">
        <f t="shared" si="3"/>
        <v>-8.36089328831603</v>
      </c>
      <c r="Y19" s="18">
        <f t="shared" si="4"/>
        <v>0.0537024257863461</v>
      </c>
    </row>
    <row r="20" spans="1:25" ht="12.75">
      <c r="A20" s="19" t="s">
        <v>64</v>
      </c>
      <c r="C20" s="24">
        <v>0.00225</v>
      </c>
      <c r="D20" s="24">
        <v>6.5</v>
      </c>
      <c r="E20" s="24">
        <v>2.13</v>
      </c>
      <c r="F20" s="24">
        <v>80.36</v>
      </c>
      <c r="G20" s="24">
        <v>271.43</v>
      </c>
      <c r="H20" s="25">
        <f t="shared" si="5"/>
        <v>-15.167750000000002</v>
      </c>
      <c r="I20" s="17">
        <v>239.83</v>
      </c>
      <c r="J20" s="18">
        <v>244.77</v>
      </c>
      <c r="K20" s="17">
        <v>247.21</v>
      </c>
      <c r="L20" s="17">
        <v>1</v>
      </c>
      <c r="M20" s="17">
        <f>I20/$G20</f>
        <v>0.8835795601075784</v>
      </c>
      <c r="N20" s="17">
        <f>J20/$G20</f>
        <v>0.9017794643186089</v>
      </c>
      <c r="O20" s="17">
        <f>K20/$G20</f>
        <v>0.910768890690049</v>
      </c>
      <c r="Q20" s="17">
        <v>12</v>
      </c>
      <c r="R20" s="17">
        <f t="shared" si="0"/>
        <v>285.15</v>
      </c>
      <c r="S20" s="17">
        <f t="shared" si="1"/>
        <v>-8.41839586219308</v>
      </c>
      <c r="U20" s="17">
        <v>12</v>
      </c>
      <c r="V20" s="17">
        <f t="shared" si="2"/>
        <v>285.15</v>
      </c>
      <c r="W20" s="17">
        <f t="shared" si="3"/>
        <v>-8.363489682184815</v>
      </c>
      <c r="Y20" s="18">
        <f t="shared" si="4"/>
        <v>0.05490618000826508</v>
      </c>
    </row>
    <row r="21" spans="8:25" ht="12.75">
      <c r="H21" s="22"/>
      <c r="Q21" s="17">
        <v>13</v>
      </c>
      <c r="R21" s="17">
        <f t="shared" si="0"/>
        <v>286.15</v>
      </c>
      <c r="S21" s="17">
        <f t="shared" si="1"/>
        <v>-8.422333502946543</v>
      </c>
      <c r="U21" s="17">
        <v>13</v>
      </c>
      <c r="V21" s="17">
        <f t="shared" si="2"/>
        <v>286.15</v>
      </c>
      <c r="W21" s="17">
        <f t="shared" si="3"/>
        <v>-8.366349948890441</v>
      </c>
      <c r="Y21" s="18">
        <f t="shared" si="4"/>
        <v>0.05598355405610178</v>
      </c>
    </row>
    <row r="22" spans="8:25" ht="12.75">
      <c r="H22" s="22"/>
      <c r="I22" s="19" t="s">
        <v>74</v>
      </c>
      <c r="Q22" s="17">
        <v>14</v>
      </c>
      <c r="R22" s="17">
        <f t="shared" si="0"/>
        <v>287.15</v>
      </c>
      <c r="S22" s="17">
        <f t="shared" si="1"/>
        <v>-8.426408526977582</v>
      </c>
      <c r="U22" s="17">
        <v>14</v>
      </c>
      <c r="V22" s="17">
        <f t="shared" si="2"/>
        <v>287.15</v>
      </c>
      <c r="W22" s="17">
        <f t="shared" si="3"/>
        <v>-8.369471331621103</v>
      </c>
      <c r="Y22" s="18">
        <f t="shared" si="4"/>
        <v>0.05693719535647901</v>
      </c>
    </row>
    <row r="23" spans="1:25" ht="12.75">
      <c r="A23" s="19" t="s">
        <v>68</v>
      </c>
      <c r="D23" s="19" t="s">
        <v>67</v>
      </c>
      <c r="H23" s="22"/>
      <c r="Q23" s="17">
        <v>15</v>
      </c>
      <c r="R23" s="17">
        <f t="shared" si="0"/>
        <v>288.15</v>
      </c>
      <c r="S23" s="17">
        <f t="shared" si="1"/>
        <v>-8.430620817208506</v>
      </c>
      <c r="U23" s="17">
        <v>15</v>
      </c>
      <c r="V23" s="17">
        <f t="shared" si="2"/>
        <v>288.15</v>
      </c>
      <c r="W23" s="17">
        <f t="shared" si="3"/>
        <v>-8.372851111834114</v>
      </c>
      <c r="Y23" s="18">
        <f t="shared" si="4"/>
        <v>0.05776970537439219</v>
      </c>
    </row>
    <row r="24" spans="3:25" ht="12.75">
      <c r="C24" s="17">
        <v>0.001</v>
      </c>
      <c r="D24" s="17">
        <v>10</v>
      </c>
      <c r="E24" s="17">
        <v>2.77</v>
      </c>
      <c r="F24" s="17">
        <v>44.72</v>
      </c>
      <c r="G24" s="17">
        <v>140.89</v>
      </c>
      <c r="H24" s="22">
        <f t="shared" si="5"/>
        <v>-13.167750000000002</v>
      </c>
      <c r="I24" s="22">
        <f aca="true" t="shared" si="6" ref="I24:I34">H24-(A$11-A$28)</f>
        <v>-13.567750000000002</v>
      </c>
      <c r="Q24" s="17">
        <v>16</v>
      </c>
      <c r="R24" s="17">
        <f t="shared" si="0"/>
        <v>289.15</v>
      </c>
      <c r="S24" s="17">
        <f t="shared" si="1"/>
        <v>-8.434970249097688</v>
      </c>
      <c r="U24" s="17">
        <v>16</v>
      </c>
      <c r="V24" s="17">
        <f t="shared" si="2"/>
        <v>289.15</v>
      </c>
      <c r="W24" s="17">
        <f t="shared" si="3"/>
        <v>-8.376486608594155</v>
      </c>
      <c r="Y24" s="18">
        <f t="shared" si="4"/>
        <v>0.05848364050353361</v>
      </c>
    </row>
    <row r="25" spans="3:25" ht="12.75">
      <c r="C25" s="17">
        <v>0.00125</v>
      </c>
      <c r="D25" s="17">
        <v>10</v>
      </c>
      <c r="E25" s="17">
        <v>2.58</v>
      </c>
      <c r="F25" s="17">
        <v>52.61</v>
      </c>
      <c r="G25" s="17">
        <v>168.16</v>
      </c>
      <c r="H25" s="22">
        <f t="shared" si="5"/>
        <v>-13.761500000000002</v>
      </c>
      <c r="I25" s="22">
        <f t="shared" si="6"/>
        <v>-14.161500000000002</v>
      </c>
      <c r="Q25" s="17">
        <v>17</v>
      </c>
      <c r="R25" s="17">
        <f t="shared" si="0"/>
        <v>290.15</v>
      </c>
      <c r="S25" s="17">
        <f t="shared" si="1"/>
        <v>-8.439456690861988</v>
      </c>
      <c r="U25" s="17">
        <v>17</v>
      </c>
      <c r="V25" s="17">
        <f t="shared" si="2"/>
        <v>290.15</v>
      </c>
      <c r="W25" s="17">
        <f t="shared" si="3"/>
        <v>-8.380375177925211</v>
      </c>
      <c r="Y25" s="18">
        <f t="shared" si="4"/>
        <v>0.05908151293677655</v>
      </c>
    </row>
    <row r="26" spans="3:25" ht="12.75">
      <c r="C26" s="17">
        <v>0.0015</v>
      </c>
      <c r="D26" s="17">
        <v>10</v>
      </c>
      <c r="E26" s="17">
        <v>2.41</v>
      </c>
      <c r="F26" s="17">
        <v>60.03</v>
      </c>
      <c r="G26" s="17">
        <v>194.72</v>
      </c>
      <c r="H26" s="22">
        <f t="shared" si="5"/>
        <v>-14.292750000000002</v>
      </c>
      <c r="I26" s="22">
        <f t="shared" si="6"/>
        <v>-14.692750000000002</v>
      </c>
      <c r="Q26" s="17">
        <v>18</v>
      </c>
      <c r="R26" s="17">
        <f t="shared" si="0"/>
        <v>291.15</v>
      </c>
      <c r="S26" s="17">
        <f t="shared" si="1"/>
        <v>-8.444080003693443</v>
      </c>
      <c r="U26" s="17">
        <v>18</v>
      </c>
      <c r="V26" s="17">
        <f t="shared" si="2"/>
        <v>291.15</v>
      </c>
      <c r="W26" s="17">
        <f t="shared" si="3"/>
        <v>-8.384514212175855</v>
      </c>
      <c r="Y26" s="18">
        <f t="shared" si="4"/>
        <v>0.05956579151758845</v>
      </c>
    </row>
    <row r="27" spans="1:25" ht="12.75">
      <c r="A27" s="19" t="s">
        <v>71</v>
      </c>
      <c r="C27" s="17">
        <v>0.00175</v>
      </c>
      <c r="D27" s="17">
        <v>10</v>
      </c>
      <c r="E27" s="17">
        <v>2.28</v>
      </c>
      <c r="F27" s="17">
        <v>67.02</v>
      </c>
      <c r="G27" s="17">
        <v>220.6</v>
      </c>
      <c r="H27" s="22">
        <f t="shared" si="5"/>
        <v>-14.699000000000002</v>
      </c>
      <c r="I27" s="22">
        <f t="shared" si="6"/>
        <v>-15.099000000000002</v>
      </c>
      <c r="Q27" s="17">
        <v>19</v>
      </c>
      <c r="R27" s="17">
        <f t="shared" si="0"/>
        <v>292.15</v>
      </c>
      <c r="S27" s="17">
        <f t="shared" si="1"/>
        <v>-8.448840041970527</v>
      </c>
      <c r="U27" s="17">
        <v>19</v>
      </c>
      <c r="V27" s="17">
        <f t="shared" si="2"/>
        <v>292.15</v>
      </c>
      <c r="W27" s="17">
        <f t="shared" si="3"/>
        <v>-8.38890113939757</v>
      </c>
      <c r="Y27" s="18">
        <f t="shared" si="4"/>
        <v>0.05993890257295753</v>
      </c>
    </row>
    <row r="28" spans="1:25" ht="12.75">
      <c r="A28" s="17">
        <v>9.6</v>
      </c>
      <c r="C28" s="17">
        <v>0.002</v>
      </c>
      <c r="D28" s="17">
        <v>10</v>
      </c>
      <c r="E28" s="17">
        <v>2.16</v>
      </c>
      <c r="F28" s="17">
        <v>73.65</v>
      </c>
      <c r="G28" s="17">
        <v>245.95</v>
      </c>
      <c r="H28" s="22">
        <f t="shared" si="5"/>
        <v>-15.074000000000002</v>
      </c>
      <c r="I28" s="22">
        <f t="shared" si="6"/>
        <v>-15.474000000000002</v>
      </c>
      <c r="Q28" s="17">
        <v>20</v>
      </c>
      <c r="R28" s="17">
        <f t="shared" si="0"/>
        <v>293.15</v>
      </c>
      <c r="S28" s="17">
        <f t="shared" si="1"/>
        <v>-8.453736653462897</v>
      </c>
      <c r="U28" s="17">
        <v>20</v>
      </c>
      <c r="V28" s="17">
        <f t="shared" si="2"/>
        <v>293.15</v>
      </c>
      <c r="W28" s="17">
        <f t="shared" si="3"/>
        <v>-8.393533422735802</v>
      </c>
      <c r="Y28" s="18">
        <f t="shared" si="4"/>
        <v>0.06020323072709566</v>
      </c>
    </row>
    <row r="29" spans="3:25" ht="12.75">
      <c r="C29" s="17">
        <v>0.0025</v>
      </c>
      <c r="D29" s="17">
        <v>10</v>
      </c>
      <c r="E29" s="17">
        <v>1.98</v>
      </c>
      <c r="F29" s="17">
        <v>85.86</v>
      </c>
      <c r="G29" s="17">
        <v>295.06</v>
      </c>
      <c r="H29" s="22">
        <f t="shared" si="5"/>
        <v>-15.636500000000002</v>
      </c>
      <c r="I29" s="22">
        <f t="shared" si="6"/>
        <v>-16.036500000000004</v>
      </c>
      <c r="Q29" s="17">
        <v>21</v>
      </c>
      <c r="R29" s="17">
        <f t="shared" si="0"/>
        <v>294.15</v>
      </c>
      <c r="S29" s="17">
        <f t="shared" si="1"/>
        <v>-8.458769679532082</v>
      </c>
      <c r="U29" s="17">
        <v>21</v>
      </c>
      <c r="V29" s="17">
        <f t="shared" si="2"/>
        <v>294.15</v>
      </c>
      <c r="W29" s="17">
        <f t="shared" si="3"/>
        <v>-8.398408559833419</v>
      </c>
      <c r="Y29" s="18">
        <f t="shared" si="4"/>
        <v>0.06036111969866376</v>
      </c>
    </row>
    <row r="30" spans="3:25" ht="12.75">
      <c r="C30" s="17">
        <v>0.003</v>
      </c>
      <c r="D30" s="17">
        <v>10</v>
      </c>
      <c r="E30" s="17">
        <v>1.83</v>
      </c>
      <c r="F30" s="17">
        <v>96.94</v>
      </c>
      <c r="G30" s="17">
        <v>342.43</v>
      </c>
      <c r="H30" s="22">
        <f t="shared" si="5"/>
        <v>-16.10525</v>
      </c>
      <c r="I30" s="22">
        <f t="shared" si="6"/>
        <v>-16.505250000000004</v>
      </c>
      <c r="Q30" s="17">
        <v>22</v>
      </c>
      <c r="R30" s="17">
        <f t="shared" si="0"/>
        <v>295.15</v>
      </c>
      <c r="S30" s="17">
        <f t="shared" si="1"/>
        <v>-8.463938955325801</v>
      </c>
      <c r="U30" s="17">
        <v>22</v>
      </c>
      <c r="V30" s="17">
        <f t="shared" si="2"/>
        <v>295.15</v>
      </c>
      <c r="W30" s="17">
        <f t="shared" si="3"/>
        <v>-8.403524082246316</v>
      </c>
      <c r="Y30" s="18">
        <f t="shared" si="4"/>
        <v>0.06041487307948579</v>
      </c>
    </row>
    <row r="31" spans="3:25" ht="12.75">
      <c r="C31" s="17">
        <v>0.0035</v>
      </c>
      <c r="D31" s="17">
        <v>10</v>
      </c>
      <c r="E31" s="17">
        <v>1.71</v>
      </c>
      <c r="F31" s="17">
        <v>107.04</v>
      </c>
      <c r="G31" s="17">
        <v>388.31</v>
      </c>
      <c r="H31" s="22">
        <f t="shared" si="5"/>
        <v>-16.48025</v>
      </c>
      <c r="I31" s="22">
        <f t="shared" si="6"/>
        <v>-16.880250000000004</v>
      </c>
      <c r="Q31" s="17">
        <v>23</v>
      </c>
      <c r="R31" s="17">
        <f t="shared" si="0"/>
        <v>296.15</v>
      </c>
      <c r="S31" s="17">
        <f t="shared" si="1"/>
        <v>-8.469244309967735</v>
      </c>
      <c r="U31" s="17">
        <v>23</v>
      </c>
      <c r="V31" s="17">
        <f t="shared" si="2"/>
        <v>296.15</v>
      </c>
      <c r="W31" s="17">
        <f t="shared" si="3"/>
        <v>-8.408877554870841</v>
      </c>
      <c r="Y31" s="18">
        <f t="shared" si="4"/>
        <v>0.0603667550968936</v>
      </c>
    </row>
    <row r="32" spans="3:25" ht="12.75">
      <c r="C32" s="17">
        <v>0.004</v>
      </c>
      <c r="D32" s="17">
        <v>10</v>
      </c>
      <c r="E32" s="17">
        <v>1.62</v>
      </c>
      <c r="F32" s="17">
        <v>116.45</v>
      </c>
      <c r="G32" s="17">
        <v>433.16</v>
      </c>
      <c r="H32" s="22">
        <f t="shared" si="5"/>
        <v>-16.7615</v>
      </c>
      <c r="I32" s="22">
        <f t="shared" si="6"/>
        <v>-17.161500000000004</v>
      </c>
      <c r="Q32" s="17">
        <v>24</v>
      </c>
      <c r="R32" s="17">
        <f t="shared" si="0"/>
        <v>297.15</v>
      </c>
      <c r="S32" s="17">
        <f t="shared" si="1"/>
        <v>-8.47468556674221</v>
      </c>
      <c r="U32" s="17">
        <v>24</v>
      </c>
      <c r="V32" s="17">
        <f t="shared" si="2"/>
        <v>297.15</v>
      </c>
      <c r="W32" s="17">
        <f t="shared" si="3"/>
        <v>-8.414466575382802</v>
      </c>
      <c r="Y32" s="18">
        <f t="shared" si="4"/>
        <v>0.06021899135940778</v>
      </c>
    </row>
    <row r="33" spans="3:25" ht="12.75">
      <c r="C33" s="17">
        <v>0.0045</v>
      </c>
      <c r="D33" s="17">
        <v>10</v>
      </c>
      <c r="E33" s="17">
        <v>1.53</v>
      </c>
      <c r="F33" s="17">
        <v>125.16</v>
      </c>
      <c r="G33" s="17">
        <v>476.92</v>
      </c>
      <c r="H33" s="22">
        <f t="shared" si="5"/>
        <v>-17.04275</v>
      </c>
      <c r="I33" s="22">
        <f t="shared" si="6"/>
        <v>-17.442750000000004</v>
      </c>
      <c r="Q33" s="17">
        <v>25</v>
      </c>
      <c r="R33" s="17">
        <f t="shared" si="0"/>
        <v>298.15</v>
      </c>
      <c r="S33" s="17">
        <f t="shared" si="1"/>
        <v>-8.48026254327391</v>
      </c>
      <c r="U33" s="17">
        <v>25</v>
      </c>
      <c r="V33" s="17">
        <f t="shared" si="2"/>
        <v>298.15</v>
      </c>
      <c r="W33" s="17">
        <f t="shared" si="3"/>
        <v>-8.42028877368774</v>
      </c>
      <c r="Y33" s="18">
        <f t="shared" si="4"/>
        <v>0.0599737695861684</v>
      </c>
    </row>
    <row r="34" spans="3:25" ht="12.75">
      <c r="C34" s="17">
        <v>0.005</v>
      </c>
      <c r="D34" s="17">
        <v>10</v>
      </c>
      <c r="E34" s="17">
        <v>1.46</v>
      </c>
      <c r="F34" s="17">
        <v>133.34</v>
      </c>
      <c r="G34" s="17">
        <v>519.88</v>
      </c>
      <c r="H34" s="22">
        <f t="shared" si="5"/>
        <v>-17.2615</v>
      </c>
      <c r="I34" s="22">
        <f t="shared" si="6"/>
        <v>-17.661500000000004</v>
      </c>
      <c r="Q34" s="17">
        <v>26</v>
      </c>
      <c r="R34" s="17">
        <f t="shared" si="0"/>
        <v>299.15</v>
      </c>
      <c r="S34" s="17">
        <f t="shared" si="1"/>
        <v>-8.485975051703178</v>
      </c>
      <c r="U34" s="17">
        <v>26</v>
      </c>
      <c r="V34" s="17">
        <f t="shared" si="2"/>
        <v>299.15</v>
      </c>
      <c r="W34" s="17">
        <f t="shared" si="3"/>
        <v>-8.42634181138225</v>
      </c>
      <c r="Y34" s="18">
        <f t="shared" si="4"/>
        <v>0.059633240320929204</v>
      </c>
    </row>
    <row r="35" spans="8:31" ht="12.75">
      <c r="H35" s="22"/>
      <c r="I35" s="22"/>
      <c r="Q35" s="17">
        <v>27</v>
      </c>
      <c r="R35" s="17">
        <f t="shared" si="0"/>
        <v>300.15</v>
      </c>
      <c r="S35" s="17">
        <f t="shared" si="1"/>
        <v>-8.491822898856356</v>
      </c>
      <c r="U35" s="17">
        <v>27</v>
      </c>
      <c r="V35" s="17">
        <f t="shared" si="2"/>
        <v>300.15</v>
      </c>
      <c r="W35" s="17">
        <f t="shared" si="3"/>
        <v>-8.432623381226053</v>
      </c>
      <c r="Y35" s="18">
        <f t="shared" si="4"/>
        <v>0.05919951763030262</v>
      </c>
      <c r="AC35" s="17" t="s">
        <v>52</v>
      </c>
      <c r="AD35" s="17" t="s">
        <v>53</v>
      </c>
      <c r="AE35" s="17" t="s">
        <v>54</v>
      </c>
    </row>
    <row r="36" spans="1:31" ht="12.75">
      <c r="A36" s="19" t="s">
        <v>69</v>
      </c>
      <c r="D36" s="19" t="s">
        <v>70</v>
      </c>
      <c r="H36" s="22"/>
      <c r="I36" s="22"/>
      <c r="Q36" s="17">
        <v>28</v>
      </c>
      <c r="R36" s="17">
        <f t="shared" si="0"/>
        <v>301.15</v>
      </c>
      <c r="S36" s="17">
        <f t="shared" si="1"/>
        <v>-8.497805886412095</v>
      </c>
      <c r="U36" s="17">
        <v>28</v>
      </c>
      <c r="V36" s="17">
        <f t="shared" si="2"/>
        <v>301.15</v>
      </c>
      <c r="W36" s="17">
        <f t="shared" si="3"/>
        <v>-8.439131206624605</v>
      </c>
      <c r="Y36" s="18">
        <f t="shared" si="4"/>
        <v>0.05867467978749019</v>
      </c>
      <c r="AC36" s="17">
        <v>2.7</v>
      </c>
      <c r="AD36" s="17">
        <f>10^-AC36</f>
        <v>0.001995262314968878</v>
      </c>
      <c r="AE36" s="17">
        <f>AD36*1000000</f>
        <v>1995.262314968878</v>
      </c>
    </row>
    <row r="37" spans="3:25" ht="12.75">
      <c r="C37" s="17">
        <v>0.002</v>
      </c>
      <c r="D37" s="17">
        <v>14</v>
      </c>
      <c r="E37" s="17">
        <v>2.09</v>
      </c>
      <c r="F37" s="17">
        <v>73.09</v>
      </c>
      <c r="G37" s="17">
        <v>245.11</v>
      </c>
      <c r="H37" s="22">
        <f t="shared" si="5"/>
        <v>-15.292750000000002</v>
      </c>
      <c r="I37" s="22">
        <f aca="true" t="shared" si="7" ref="I37:I48">H37-(A$11-A$39)</f>
        <v>-34.42275000000001</v>
      </c>
      <c r="Q37" s="17">
        <v>29</v>
      </c>
      <c r="R37" s="17">
        <f t="shared" si="0"/>
        <v>302.15</v>
      </c>
      <c r="S37" s="17">
        <f t="shared" si="1"/>
        <v>-8.503923811063004</v>
      </c>
      <c r="U37" s="17">
        <v>29</v>
      </c>
      <c r="V37" s="17">
        <f t="shared" si="2"/>
        <v>302.15</v>
      </c>
      <c r="W37" s="17">
        <f t="shared" si="3"/>
        <v>-8.445863041121958</v>
      </c>
      <c r="Y37" s="18">
        <f t="shared" si="4"/>
        <v>0.058060769941045365</v>
      </c>
    </row>
    <row r="38" spans="1:25" ht="12.75">
      <c r="A38" s="19" t="s">
        <v>71</v>
      </c>
      <c r="C38" s="17">
        <v>0.0025</v>
      </c>
      <c r="D38" s="17">
        <v>14</v>
      </c>
      <c r="E38" s="17">
        <v>1.91</v>
      </c>
      <c r="F38" s="17">
        <v>85.12</v>
      </c>
      <c r="G38" s="17">
        <v>293.93</v>
      </c>
      <c r="H38" s="22">
        <f t="shared" si="5"/>
        <v>-15.855250000000002</v>
      </c>
      <c r="I38" s="22">
        <f t="shared" si="7"/>
        <v>-34.98525000000001</v>
      </c>
      <c r="Q38" s="17">
        <v>30</v>
      </c>
      <c r="R38" s="17">
        <f t="shared" si="0"/>
        <v>303.15</v>
      </c>
      <c r="S38" s="17">
        <f t="shared" si="1"/>
        <v>-8.510176464673293</v>
      </c>
      <c r="U38" s="17">
        <v>30</v>
      </c>
      <c r="V38" s="17">
        <f t="shared" si="2"/>
        <v>303.15</v>
      </c>
      <c r="W38" s="17">
        <f t="shared" si="3"/>
        <v>-8.452816667903678</v>
      </c>
      <c r="Y38" s="18">
        <f t="shared" si="4"/>
        <v>0.057359796769615556</v>
      </c>
    </row>
    <row r="39" spans="1:25" ht="12.75">
      <c r="A39" s="17">
        <v>-9.13</v>
      </c>
      <c r="C39" s="17">
        <v>0.003</v>
      </c>
      <c r="D39" s="17">
        <v>14</v>
      </c>
      <c r="E39" s="17">
        <v>1.77</v>
      </c>
      <c r="F39" s="17">
        <v>96</v>
      </c>
      <c r="G39" s="17">
        <v>341.01</v>
      </c>
      <c r="H39" s="22">
        <f t="shared" si="5"/>
        <v>-16.29275</v>
      </c>
      <c r="I39" s="22">
        <f t="shared" si="7"/>
        <v>-35.42275000000001</v>
      </c>
      <c r="Q39" s="17">
        <v>31</v>
      </c>
      <c r="R39" s="17">
        <f t="shared" si="0"/>
        <v>304.15</v>
      </c>
      <c r="S39" s="17">
        <f t="shared" si="1"/>
        <v>-8.516563634432032</v>
      </c>
      <c r="U39" s="17">
        <v>31</v>
      </c>
      <c r="V39" s="17">
        <f t="shared" si="2"/>
        <v>304.15</v>
      </c>
      <c r="W39" s="17">
        <f t="shared" si="3"/>
        <v>-8.459989899309551</v>
      </c>
      <c r="Y39" s="18">
        <f t="shared" si="4"/>
        <v>0.05657373512248043</v>
      </c>
    </row>
    <row r="40" spans="3:25" ht="12.75">
      <c r="C40" s="17">
        <v>0.0035</v>
      </c>
      <c r="D40" s="17">
        <v>14</v>
      </c>
      <c r="E40" s="17">
        <v>1.65</v>
      </c>
      <c r="F40" s="17">
        <v>105.94</v>
      </c>
      <c r="G40" s="17">
        <v>386.64</v>
      </c>
      <c r="H40" s="22">
        <f t="shared" si="5"/>
        <v>-16.66775</v>
      </c>
      <c r="I40" s="22">
        <f t="shared" si="7"/>
        <v>-35.79775000000001</v>
      </c>
      <c r="Q40" s="17">
        <v>32</v>
      </c>
      <c r="R40" s="17">
        <f t="shared" si="0"/>
        <v>305.15</v>
      </c>
      <c r="S40" s="17">
        <f t="shared" si="1"/>
        <v>-8.523085103002984</v>
      </c>
      <c r="U40" s="17">
        <v>32</v>
      </c>
      <c r="V40" s="17">
        <f t="shared" si="2"/>
        <v>305.15</v>
      </c>
      <c r="W40" s="17">
        <f t="shared" si="3"/>
        <v>-8.46738057635589</v>
      </c>
      <c r="Y40" s="18">
        <f t="shared" si="4"/>
        <v>0.055704526647094355</v>
      </c>
    </row>
    <row r="41" spans="3:25" ht="12.75">
      <c r="C41" s="17">
        <v>0.004</v>
      </c>
      <c r="D41" s="17">
        <v>14</v>
      </c>
      <c r="E41" s="17">
        <v>1.55</v>
      </c>
      <c r="F41" s="17">
        <v>115.12</v>
      </c>
      <c r="G41" s="17">
        <v>431.13</v>
      </c>
      <c r="H41" s="22">
        <f t="shared" si="5"/>
        <v>-16.98025</v>
      </c>
      <c r="I41" s="22">
        <f t="shared" si="7"/>
        <v>-36.11025000000001</v>
      </c>
      <c r="Y41" s="18"/>
    </row>
    <row r="42" spans="3:25" ht="12.75">
      <c r="C42" s="17">
        <v>0.0045</v>
      </c>
      <c r="D42" s="17">
        <v>14</v>
      </c>
      <c r="E42" s="17">
        <v>1.46</v>
      </c>
      <c r="F42" s="17">
        <v>123.72</v>
      </c>
      <c r="G42" s="17">
        <v>474.73</v>
      </c>
      <c r="H42" s="22">
        <f t="shared" si="5"/>
        <v>-17.2615</v>
      </c>
      <c r="I42" s="22">
        <f t="shared" si="7"/>
        <v>-36.39150000000001</v>
      </c>
      <c r="Y42" s="18"/>
    </row>
    <row r="43" spans="3:9" ht="12.75">
      <c r="C43" s="17">
        <v>0.005</v>
      </c>
      <c r="D43" s="17">
        <v>14</v>
      </c>
      <c r="E43" s="17">
        <v>1.39</v>
      </c>
      <c r="F43" s="17">
        <v>131.75</v>
      </c>
      <c r="G43" s="17">
        <v>517.46</v>
      </c>
      <c r="H43" s="22">
        <f t="shared" si="5"/>
        <v>-17.48025</v>
      </c>
      <c r="I43" s="22">
        <f t="shared" si="7"/>
        <v>-36.61025000000001</v>
      </c>
    </row>
    <row r="44" spans="3:9" ht="12.75">
      <c r="C44" s="17">
        <v>0.006</v>
      </c>
      <c r="D44" s="17">
        <v>14</v>
      </c>
      <c r="E44" s="17">
        <v>1.27</v>
      </c>
      <c r="F44" s="17">
        <v>146.44</v>
      </c>
      <c r="G44" s="17">
        <v>600.85</v>
      </c>
      <c r="H44" s="22">
        <f t="shared" si="5"/>
        <v>-17.85525</v>
      </c>
      <c r="I44" s="22">
        <f t="shared" si="7"/>
        <v>-36.98525000000001</v>
      </c>
    </row>
    <row r="45" spans="3:9" ht="12.75">
      <c r="C45" s="17">
        <v>0.007</v>
      </c>
      <c r="D45" s="17">
        <v>14</v>
      </c>
      <c r="E45" s="17">
        <v>1.16</v>
      </c>
      <c r="F45" s="17">
        <v>159.7</v>
      </c>
      <c r="G45" s="17">
        <v>682.04</v>
      </c>
      <c r="H45" s="22">
        <f t="shared" si="5"/>
        <v>-18.199</v>
      </c>
      <c r="I45" s="22">
        <f t="shared" si="7"/>
        <v>-37.32900000000001</v>
      </c>
    </row>
    <row r="46" spans="3:9" ht="12.75">
      <c r="C46" s="17">
        <v>0.008</v>
      </c>
      <c r="D46" s="17">
        <v>14</v>
      </c>
      <c r="E46" s="17">
        <v>1.08</v>
      </c>
      <c r="F46" s="17">
        <v>171.83</v>
      </c>
      <c r="G46" s="17">
        <v>761.53</v>
      </c>
      <c r="H46" s="22">
        <f t="shared" si="5"/>
        <v>-18.449</v>
      </c>
      <c r="I46" s="22">
        <f t="shared" si="7"/>
        <v>-37.57900000000001</v>
      </c>
    </row>
    <row r="47" spans="3:9" ht="12.75">
      <c r="C47" s="17">
        <v>0.009</v>
      </c>
      <c r="D47" s="17">
        <v>14</v>
      </c>
      <c r="E47" s="17">
        <v>1.01</v>
      </c>
      <c r="F47" s="17">
        <v>183.06</v>
      </c>
      <c r="G47" s="17">
        <v>839.64</v>
      </c>
      <c r="H47" s="22">
        <f t="shared" si="5"/>
        <v>-18.66775</v>
      </c>
      <c r="I47" s="22">
        <f t="shared" si="7"/>
        <v>-37.79775000000001</v>
      </c>
    </row>
    <row r="48" spans="3:9" ht="12.75">
      <c r="C48" s="17">
        <v>0.01</v>
      </c>
      <c r="D48" s="17">
        <v>14</v>
      </c>
      <c r="E48" s="17">
        <v>0.94</v>
      </c>
      <c r="F48" s="17">
        <v>193.53</v>
      </c>
      <c r="G48" s="17">
        <v>916.59</v>
      </c>
      <c r="H48" s="22">
        <f t="shared" si="5"/>
        <v>-18.8865</v>
      </c>
      <c r="I48" s="22">
        <f t="shared" si="7"/>
        <v>-38.01650000000001</v>
      </c>
    </row>
    <row r="51" ht="12.75">
      <c r="B51" s="29" t="s">
        <v>77</v>
      </c>
    </row>
    <row r="52" spans="2:10" ht="12.75">
      <c r="B52" s="29" t="s">
        <v>82</v>
      </c>
      <c r="C52" s="19" t="s">
        <v>0</v>
      </c>
      <c r="D52" s="19" t="s">
        <v>60</v>
      </c>
      <c r="E52" s="19" t="s">
        <v>78</v>
      </c>
      <c r="F52" s="19" t="s">
        <v>83</v>
      </c>
      <c r="I52" s="29" t="s">
        <v>84</v>
      </c>
      <c r="J52" s="19" t="s">
        <v>0</v>
      </c>
    </row>
    <row r="53" spans="1:10" ht="12.75">
      <c r="A53" s="23">
        <f>10^-B53*1000000</f>
        <v>1737.800828749375</v>
      </c>
      <c r="B53" s="17">
        <v>2.76</v>
      </c>
      <c r="C53" s="22">
        <f>H13</f>
        <v>-13.199000000000002</v>
      </c>
      <c r="D53" s="17">
        <f>G13</f>
        <v>152.14</v>
      </c>
      <c r="E53" s="21" t="e">
        <f>#REF!</f>
        <v>#REF!</v>
      </c>
      <c r="F53" s="17">
        <v>1738</v>
      </c>
      <c r="I53" s="23">
        <f>A53</f>
        <v>1737.800828749375</v>
      </c>
      <c r="J53" s="22">
        <f>C53</f>
        <v>-13.199000000000002</v>
      </c>
    </row>
    <row r="54" spans="1:10" ht="12.75">
      <c r="A54" s="23"/>
      <c r="C54" s="21" t="e">
        <f>#REF!</f>
        <v>#REF!</v>
      </c>
      <c r="D54" s="17">
        <f>K13</f>
        <v>150.66</v>
      </c>
      <c r="E54" s="17" t="e">
        <f>#REF!</f>
        <v>#REF!</v>
      </c>
      <c r="I54" s="17">
        <f>F63</f>
        <v>4950</v>
      </c>
      <c r="J54" s="18" t="e">
        <f>C63</f>
        <v>#REF!</v>
      </c>
    </row>
    <row r="55" spans="1:10" ht="12.75">
      <c r="A55" s="23"/>
      <c r="C55" s="21" t="e">
        <f>#REF!</f>
        <v>#REF!</v>
      </c>
      <c r="D55" s="18">
        <f>J13</f>
        <v>148.9</v>
      </c>
      <c r="E55" s="17" t="e">
        <f>#REF!</f>
        <v>#REF!</v>
      </c>
      <c r="I55" s="23">
        <f>A58</f>
        <v>7413.102413009174</v>
      </c>
      <c r="J55" s="22">
        <f>C58</f>
        <v>-15.167750000000002</v>
      </c>
    </row>
    <row r="56" spans="1:10" ht="12.75">
      <c r="A56" s="23">
        <f>10^-B56*1000000</f>
        <v>1737.800828749375</v>
      </c>
      <c r="B56" s="17">
        <v>2.76</v>
      </c>
      <c r="C56" s="21" t="e">
        <f>#REF!</f>
        <v>#REF!</v>
      </c>
      <c r="D56" s="17">
        <f>I13</f>
        <v>146.06</v>
      </c>
      <c r="E56" s="17" t="e">
        <f>#REF!</f>
        <v>#REF!</v>
      </c>
      <c r="F56" s="17">
        <v>500</v>
      </c>
      <c r="J56" s="17"/>
    </row>
    <row r="57" spans="1:10" ht="12.75">
      <c r="A57" s="23"/>
      <c r="I57" s="19" t="s">
        <v>80</v>
      </c>
      <c r="J57" s="17"/>
    </row>
    <row r="58" spans="1:10" ht="12.75">
      <c r="A58" s="23">
        <f>10^-B58*1000000</f>
        <v>7413.102413009174</v>
      </c>
      <c r="B58" s="17">
        <v>2.13</v>
      </c>
      <c r="C58" s="22">
        <f>H20</f>
        <v>-15.167750000000002</v>
      </c>
      <c r="D58" s="17">
        <f>G20</f>
        <v>271.43</v>
      </c>
      <c r="E58" s="17" t="e">
        <f>#REF!</f>
        <v>#REF!</v>
      </c>
      <c r="F58" s="17">
        <v>7413</v>
      </c>
      <c r="I58" s="23">
        <f>A53</f>
        <v>1737.800828749375</v>
      </c>
      <c r="J58" s="21" t="e">
        <f>C56</f>
        <v>#REF!</v>
      </c>
    </row>
    <row r="59" spans="1:10" ht="12.75">
      <c r="A59" s="23"/>
      <c r="C59" s="21" t="e">
        <f>#REF!</f>
        <v>#REF!</v>
      </c>
      <c r="D59" s="17">
        <f>K20</f>
        <v>247.21</v>
      </c>
      <c r="E59" s="17" t="e">
        <f>#REF!</f>
        <v>#REF!</v>
      </c>
      <c r="I59" s="17">
        <f>I54</f>
        <v>4950</v>
      </c>
      <c r="J59" s="18" t="e">
        <f>C65</f>
        <v>#REF!</v>
      </c>
    </row>
    <row r="60" spans="1:10" ht="12.75">
      <c r="A60" s="23"/>
      <c r="C60" s="21" t="e">
        <f>#REF!</f>
        <v>#REF!</v>
      </c>
      <c r="D60" s="18">
        <f>J20</f>
        <v>244.77</v>
      </c>
      <c r="E60" s="17" t="e">
        <f>#REF!</f>
        <v>#REF!</v>
      </c>
      <c r="I60" s="23">
        <f>A58</f>
        <v>7413.102413009174</v>
      </c>
      <c r="J60" s="21" t="e">
        <f>C61</f>
        <v>#REF!</v>
      </c>
    </row>
    <row r="61" spans="1:10" ht="12.75">
      <c r="A61" s="23">
        <f>10^-B61*1000000</f>
        <v>7413.102413009174</v>
      </c>
      <c r="B61" s="17">
        <v>2.13</v>
      </c>
      <c r="C61" s="21" t="e">
        <f>#REF!</f>
        <v>#REF!</v>
      </c>
      <c r="D61" s="17">
        <f>I20</f>
        <v>239.83</v>
      </c>
      <c r="E61" s="17" t="e">
        <f>#REF!</f>
        <v>#REF!</v>
      </c>
      <c r="F61" s="17">
        <v>500</v>
      </c>
      <c r="J61" s="17"/>
    </row>
    <row r="62" spans="9:10" ht="12.75">
      <c r="I62" s="19" t="s">
        <v>81</v>
      </c>
      <c r="J62" s="17"/>
    </row>
    <row r="63" spans="1:10" ht="12.75">
      <c r="A63" s="17">
        <v>4935</v>
      </c>
      <c r="B63" s="17">
        <v>2.31</v>
      </c>
      <c r="C63" s="21" t="e">
        <f>#REF!</f>
        <v>#REF!</v>
      </c>
      <c r="D63" s="31" t="s">
        <v>92</v>
      </c>
      <c r="F63" s="17">
        <f>4950</f>
        <v>4950</v>
      </c>
      <c r="I63" s="23">
        <v>1718</v>
      </c>
      <c r="J63" s="21" t="e">
        <f>C73</f>
        <v>#REF!</v>
      </c>
    </row>
    <row r="64" spans="1:10" ht="12.75">
      <c r="A64" s="17">
        <v>1400</v>
      </c>
      <c r="B64" s="17">
        <v>2.31</v>
      </c>
      <c r="C64" s="21" t="e">
        <f>#REF!</f>
        <v>#REF!</v>
      </c>
      <c r="D64" s="31" t="s">
        <v>91</v>
      </c>
      <c r="F64" s="17">
        <v>1400</v>
      </c>
      <c r="I64" s="17">
        <v>4980</v>
      </c>
      <c r="J64" s="18" t="e">
        <f>C83</f>
        <v>#REF!</v>
      </c>
    </row>
    <row r="65" spans="1:12" ht="12.75">
      <c r="A65" s="17">
        <v>500</v>
      </c>
      <c r="B65" s="17">
        <v>2.31</v>
      </c>
      <c r="C65" s="21" t="e">
        <f>#REF!</f>
        <v>#REF!</v>
      </c>
      <c r="D65" s="31" t="s">
        <v>90</v>
      </c>
      <c r="I65" s="23">
        <v>7328</v>
      </c>
      <c r="J65" s="21" t="e">
        <f>C78</f>
        <v>#REF!</v>
      </c>
      <c r="L65" s="31" t="s">
        <v>89</v>
      </c>
    </row>
    <row r="66" spans="6:13" ht="12.75">
      <c r="F66" s="17">
        <v>500</v>
      </c>
      <c r="L66" s="23">
        <v>1718</v>
      </c>
      <c r="M66" s="21" t="e">
        <f>C71</f>
        <v>#REF!</v>
      </c>
    </row>
    <row r="67" spans="8:13" ht="12.75">
      <c r="H67" s="30" t="s">
        <v>86</v>
      </c>
      <c r="I67" s="29" t="s">
        <v>85</v>
      </c>
      <c r="J67" s="29"/>
      <c r="L67" s="17">
        <v>4980</v>
      </c>
      <c r="M67" s="18" t="e">
        <f>C81</f>
        <v>#REF!</v>
      </c>
    </row>
    <row r="68" spans="2:13" ht="12.75">
      <c r="B68" s="19" t="s">
        <v>87</v>
      </c>
      <c r="C68" s="17">
        <v>6.7</v>
      </c>
      <c r="H68" s="17">
        <v>-2.306</v>
      </c>
      <c r="I68" s="23">
        <v>4950</v>
      </c>
      <c r="L68" s="23">
        <v>7328</v>
      </c>
      <c r="M68" s="21" t="e">
        <f>C76</f>
        <v>#REF!</v>
      </c>
    </row>
    <row r="69" spans="2:9" ht="12.75">
      <c r="B69" s="19" t="s">
        <v>79</v>
      </c>
      <c r="I69" s="23"/>
    </row>
    <row r="70" spans="1:6" ht="12.75">
      <c r="A70" s="23">
        <f>10^-B70*1000000</f>
        <v>1717.908387157586</v>
      </c>
      <c r="B70" s="17">
        <v>2.765</v>
      </c>
      <c r="C70" s="21">
        <v>-13.199000000000002</v>
      </c>
      <c r="D70" s="17">
        <v>152.14</v>
      </c>
      <c r="E70" s="21">
        <v>1</v>
      </c>
      <c r="F70" s="17">
        <v>1738</v>
      </c>
    </row>
    <row r="71" spans="1:11" ht="12.75">
      <c r="A71" s="23"/>
      <c r="C71" s="21" t="e">
        <f>C$70-C68*(C$53-C54)</f>
        <v>#REF!</v>
      </c>
      <c r="D71" s="17">
        <v>150.66</v>
      </c>
      <c r="E71" s="21">
        <v>0.99</v>
      </c>
      <c r="H71" s="31" t="s">
        <v>94</v>
      </c>
      <c r="I71" s="29"/>
      <c r="K71" s="31" t="s">
        <v>95</v>
      </c>
    </row>
    <row r="72" spans="1:12" ht="12.75">
      <c r="A72" s="23"/>
      <c r="C72" s="21" t="e">
        <f>C$70-C68*(C$53-C55)</f>
        <v>#REF!</v>
      </c>
      <c r="D72" s="17">
        <v>148.9</v>
      </c>
      <c r="E72" s="21">
        <v>0.978</v>
      </c>
      <c r="H72" s="17">
        <v>0</v>
      </c>
      <c r="I72" s="17">
        <v>-8.54</v>
      </c>
      <c r="K72" s="17">
        <v>0</v>
      </c>
      <c r="L72" s="17">
        <v>-8.07</v>
      </c>
    </row>
    <row r="73" spans="1:12" ht="12.75">
      <c r="A73" s="23">
        <f aca="true" t="shared" si="8" ref="A73:A78">10^-B73*1000000</f>
        <v>1717.908387157586</v>
      </c>
      <c r="B73" s="17">
        <v>2.765</v>
      </c>
      <c r="C73" s="21" t="e">
        <f>C$70-C68*(C$53-C56)</f>
        <v>#REF!</v>
      </c>
      <c r="D73" s="17">
        <v>146.06</v>
      </c>
      <c r="E73" s="21">
        <v>0.96</v>
      </c>
      <c r="F73" s="17">
        <v>500</v>
      </c>
      <c r="H73" s="17">
        <v>550</v>
      </c>
      <c r="I73" s="17">
        <v>-8.54</v>
      </c>
      <c r="K73" s="17">
        <v>550</v>
      </c>
      <c r="L73" s="17">
        <v>-8.07</v>
      </c>
    </row>
    <row r="74" spans="1:5" ht="12.75">
      <c r="A74" s="23"/>
      <c r="C74" s="21"/>
      <c r="E74" s="21"/>
    </row>
    <row r="75" spans="1:9" ht="12.75">
      <c r="A75" s="23">
        <f t="shared" si="8"/>
        <v>7328.245331389041</v>
      </c>
      <c r="B75" s="17">
        <v>2.135</v>
      </c>
      <c r="C75" s="21">
        <v>-15.167750000000002</v>
      </c>
      <c r="D75" s="17">
        <v>271.43</v>
      </c>
      <c r="E75" s="21">
        <v>1</v>
      </c>
      <c r="F75" s="17">
        <v>7413</v>
      </c>
      <c r="H75" s="17">
        <v>4950</v>
      </c>
      <c r="I75" s="29">
        <v>-16</v>
      </c>
    </row>
    <row r="76" spans="1:9" ht="12.75">
      <c r="A76" s="23"/>
      <c r="C76" s="21" t="e">
        <f>C$75-C68*(C$58-C59)</f>
        <v>#REF!</v>
      </c>
      <c r="D76" s="17">
        <v>247.21</v>
      </c>
      <c r="E76" s="21">
        <v>0.911</v>
      </c>
      <c r="H76" s="17">
        <v>4950</v>
      </c>
      <c r="I76" s="23">
        <v>-15</v>
      </c>
    </row>
    <row r="77" spans="1:9" ht="12.75">
      <c r="A77" s="23"/>
      <c r="C77" s="21" t="e">
        <f>C$75-C68*(C$58-C60)</f>
        <v>#REF!</v>
      </c>
      <c r="D77" s="17">
        <v>244.77</v>
      </c>
      <c r="E77" s="21">
        <v>0.902</v>
      </c>
      <c r="I77" s="23"/>
    </row>
    <row r="78" spans="1:6" ht="12.75">
      <c r="A78" s="23">
        <f t="shared" si="8"/>
        <v>7328.245331389041</v>
      </c>
      <c r="B78" s="17">
        <v>2.135</v>
      </c>
      <c r="C78" s="21" t="e">
        <f>C$75-C68*(C$58-C61)</f>
        <v>#REF!</v>
      </c>
      <c r="D78" s="17">
        <v>239.83</v>
      </c>
      <c r="E78" s="21">
        <v>0.88358</v>
      </c>
      <c r="F78" s="17">
        <v>500</v>
      </c>
    </row>
    <row r="80" spans="1:6" ht="12.75">
      <c r="A80" s="17">
        <v>4965</v>
      </c>
      <c r="B80" s="17">
        <v>2.31</v>
      </c>
      <c r="C80" s="21" t="e">
        <f>C63</f>
        <v>#REF!</v>
      </c>
      <c r="F80" s="17">
        <f>F63</f>
        <v>4950</v>
      </c>
    </row>
    <row r="81" spans="1:10" ht="12.75">
      <c r="A81" s="17">
        <v>1400</v>
      </c>
      <c r="B81" s="17">
        <v>2.31</v>
      </c>
      <c r="C81" s="21" t="e">
        <f>C$80-C$68*(C$63-C64)</f>
        <v>#REF!</v>
      </c>
      <c r="E81" s="17">
        <v>0.938</v>
      </c>
      <c r="F81" s="17">
        <v>1400</v>
      </c>
      <c r="H81" s="31" t="s">
        <v>125</v>
      </c>
      <c r="I81" s="17">
        <v>500</v>
      </c>
      <c r="J81" s="18">
        <v>-13</v>
      </c>
    </row>
    <row r="82" spans="2:10" ht="12.75">
      <c r="B82" s="17">
        <v>2.31</v>
      </c>
      <c r="C82" s="21" t="e">
        <f>C$80-C$68*(C$63-#REF!)</f>
        <v>#REF!</v>
      </c>
      <c r="H82" s="31" t="s">
        <v>124</v>
      </c>
      <c r="I82" s="17">
        <v>500</v>
      </c>
      <c r="J82" s="18">
        <v>-3</v>
      </c>
    </row>
    <row r="83" spans="1:6" ht="12.75">
      <c r="A83" s="17">
        <v>500</v>
      </c>
      <c r="B83" s="17">
        <v>2.31</v>
      </c>
      <c r="C83" s="21" t="e">
        <f>C$80-C$68*(C$63-C65)</f>
        <v>#REF!</v>
      </c>
      <c r="F83" s="17">
        <f>F66</f>
        <v>500</v>
      </c>
    </row>
    <row r="85" spans="1:10" ht="89.25">
      <c r="A85" s="46"/>
      <c r="B85" s="49" t="s">
        <v>96</v>
      </c>
      <c r="C85" s="50" t="s">
        <v>97</v>
      </c>
      <c r="D85" s="52" t="s">
        <v>128</v>
      </c>
      <c r="E85" s="50" t="s">
        <v>98</v>
      </c>
      <c r="F85" s="52" t="s">
        <v>99</v>
      </c>
      <c r="G85" s="52" t="s">
        <v>100</v>
      </c>
      <c r="H85" s="32"/>
      <c r="I85" s="55" t="s">
        <v>101</v>
      </c>
      <c r="J85" s="55" t="s">
        <v>102</v>
      </c>
    </row>
    <row r="86" spans="1:18" ht="12.75">
      <c r="A86" s="49" t="s">
        <v>103</v>
      </c>
      <c r="B86" s="46">
        <v>-14.5</v>
      </c>
      <c r="C86" s="47">
        <v>-12.099027499999998</v>
      </c>
      <c r="D86" s="47">
        <v>-10.218867500638243</v>
      </c>
      <c r="E86" s="46"/>
      <c r="F86" s="46"/>
      <c r="G86" s="46"/>
      <c r="H86" s="32"/>
      <c r="I86" s="53">
        <v>-3</v>
      </c>
      <c r="J86" s="54"/>
      <c r="N86" s="31" t="s">
        <v>122</v>
      </c>
      <c r="O86" s="31" t="s">
        <v>122</v>
      </c>
      <c r="P86" s="31" t="s">
        <v>0</v>
      </c>
      <c r="Q86" s="19" t="s">
        <v>153</v>
      </c>
      <c r="R86" s="19" t="s">
        <v>78</v>
      </c>
    </row>
    <row r="87" spans="1:18" ht="12.75">
      <c r="A87" s="49" t="s">
        <v>104</v>
      </c>
      <c r="B87" s="46">
        <v>-14.5</v>
      </c>
      <c r="C87" s="51">
        <v>-11.397998333333332</v>
      </c>
      <c r="D87" s="51">
        <v>-9.42</v>
      </c>
      <c r="E87" s="47">
        <v>-8.543929023198665</v>
      </c>
      <c r="F87" s="48">
        <v>85.29112597526797</v>
      </c>
      <c r="G87" s="48">
        <v>14.708874024732026</v>
      </c>
      <c r="H87" s="32"/>
      <c r="I87" s="54">
        <v>-3</v>
      </c>
      <c r="J87" s="56">
        <v>13.64596537073731</v>
      </c>
      <c r="L87" s="31" t="s">
        <v>103</v>
      </c>
      <c r="M87" s="31" t="s">
        <v>127</v>
      </c>
      <c r="N87" s="17">
        <v>-2.45</v>
      </c>
      <c r="O87" s="23">
        <f>10^N87*1000000</f>
        <v>3548.133892335753</v>
      </c>
      <c r="P87" s="17">
        <v>-13</v>
      </c>
      <c r="Q87" s="17">
        <f>D94</f>
        <v>210.19</v>
      </c>
      <c r="R87" s="17">
        <v>1</v>
      </c>
    </row>
    <row r="88" spans="1:18" ht="12.75">
      <c r="A88" s="49" t="s">
        <v>95</v>
      </c>
      <c r="B88" s="46">
        <v>-14.5</v>
      </c>
      <c r="C88" s="51">
        <v>-11.300276086956524</v>
      </c>
      <c r="D88" s="51">
        <v>-9.23</v>
      </c>
      <c r="E88" s="47">
        <v>-8.07</v>
      </c>
      <c r="F88" s="48">
        <v>81.95956454121306</v>
      </c>
      <c r="G88" s="48">
        <v>18.040435458786945</v>
      </c>
      <c r="H88" s="32"/>
      <c r="I88" s="54">
        <v>-3</v>
      </c>
      <c r="J88" s="56">
        <v>18.619582664526487</v>
      </c>
      <c r="M88" s="31" t="s">
        <v>123</v>
      </c>
      <c r="N88" s="17">
        <v>-2.83</v>
      </c>
      <c r="O88" s="23">
        <f>10^N88*1000000</f>
        <v>1479.1083881682066</v>
      </c>
      <c r="P88" s="21">
        <f>C97</f>
        <v>-12.099027499999998</v>
      </c>
      <c r="Q88" s="21">
        <f>D97</f>
        <v>201.9</v>
      </c>
      <c r="R88" s="18">
        <f>Q88/Q87</f>
        <v>0.9605594937913317</v>
      </c>
    </row>
    <row r="89" spans="14:18" ht="12.75">
      <c r="N89" s="17">
        <v>-3.3</v>
      </c>
      <c r="O89" s="23">
        <f>10^N89*1000000</f>
        <v>501.1872336272721</v>
      </c>
      <c r="P89" s="17">
        <f>'Rayleigh calculations Ernesto'!U4</f>
        <v>-11.44</v>
      </c>
      <c r="Q89" s="21">
        <f>D101</f>
        <v>195.85</v>
      </c>
      <c r="R89" s="18">
        <f>Q89/Q87</f>
        <v>0.9317760121794567</v>
      </c>
    </row>
    <row r="90" spans="1:11" ht="12.75">
      <c r="A90" s="33" t="s">
        <v>105</v>
      </c>
      <c r="B90" s="34" t="s">
        <v>106</v>
      </c>
      <c r="C90" s="34" t="s">
        <v>107</v>
      </c>
      <c r="D90" s="34" t="s">
        <v>108</v>
      </c>
      <c r="E90" s="34"/>
      <c r="F90" s="35"/>
      <c r="G90" s="35"/>
      <c r="H90" s="35"/>
      <c r="I90" s="35"/>
      <c r="J90" s="36"/>
      <c r="K90" s="37"/>
    </row>
    <row r="91" spans="1:18" ht="12.75">
      <c r="A91" s="38">
        <v>2.3050947065068654</v>
      </c>
      <c r="B91" s="39">
        <v>0.004953421598648414</v>
      </c>
      <c r="C91" s="35">
        <v>-14.5</v>
      </c>
      <c r="D91" s="40" t="s">
        <v>109</v>
      </c>
      <c r="E91" s="35"/>
      <c r="F91" s="34" t="s">
        <v>110</v>
      </c>
      <c r="G91" s="34" t="s">
        <v>111</v>
      </c>
      <c r="H91" s="35"/>
      <c r="I91" s="35"/>
      <c r="J91" s="36"/>
      <c r="K91" s="37"/>
      <c r="L91" s="31" t="s">
        <v>104</v>
      </c>
      <c r="M91" s="31" t="s">
        <v>127</v>
      </c>
      <c r="N91" s="17">
        <v>-2.49</v>
      </c>
      <c r="O91" s="23">
        <f>10^N91*1000000</f>
        <v>3235.9365692962792</v>
      </c>
      <c r="P91" s="17">
        <v>-13</v>
      </c>
      <c r="Q91" s="17">
        <f>D95</f>
        <v>202.59</v>
      </c>
      <c r="R91" s="17">
        <v>1</v>
      </c>
    </row>
    <row r="92" spans="1:18" ht="12.75">
      <c r="A92" s="38"/>
      <c r="B92" s="35"/>
      <c r="C92" s="35"/>
      <c r="D92" s="35"/>
      <c r="E92" s="35"/>
      <c r="F92" s="35"/>
      <c r="G92" s="35"/>
      <c r="H92" s="35"/>
      <c r="I92" s="35"/>
      <c r="J92" s="36"/>
      <c r="K92" s="37"/>
      <c r="M92" s="31" t="s">
        <v>123</v>
      </c>
      <c r="N92" s="17">
        <v>-2.9</v>
      </c>
      <c r="O92" s="23">
        <f>10^N92*1000000</f>
        <v>1258.9254117941662</v>
      </c>
      <c r="P92" s="21">
        <f>C98</f>
        <v>-11.397998333333332</v>
      </c>
      <c r="Q92" s="21">
        <f>D98</f>
        <v>194.3</v>
      </c>
      <c r="R92" s="18">
        <f>Q92/Q91</f>
        <v>0.959079915099462</v>
      </c>
    </row>
    <row r="93" spans="1:18" ht="12.75">
      <c r="A93" s="38"/>
      <c r="B93" s="35"/>
      <c r="C93" s="35"/>
      <c r="D93" s="35"/>
      <c r="E93" s="35"/>
      <c r="F93" s="35"/>
      <c r="G93" s="35"/>
      <c r="H93" s="35"/>
      <c r="I93" s="34"/>
      <c r="J93" s="36"/>
      <c r="K93" s="37"/>
      <c r="M93" s="31" t="s">
        <v>126</v>
      </c>
      <c r="N93" s="17">
        <v>-3.3</v>
      </c>
      <c r="O93" s="23">
        <f>10^N93*1000000</f>
        <v>501.1872336272721</v>
      </c>
      <c r="P93" s="17">
        <f>'Rayleigh calculations Ernesto'!U8</f>
        <v>-10.43</v>
      </c>
      <c r="Q93" s="21">
        <f>D102</f>
        <v>189.35</v>
      </c>
      <c r="R93" s="18">
        <f>Q93/Q91</f>
        <v>0.9346463300261612</v>
      </c>
    </row>
    <row r="94" spans="1:15" ht="12.75">
      <c r="A94" s="38">
        <v>2.45</v>
      </c>
      <c r="B94" s="39">
        <v>0.003548133892335753</v>
      </c>
      <c r="C94" s="35"/>
      <c r="D94" s="35">
        <v>210.19</v>
      </c>
      <c r="E94" s="35"/>
      <c r="F94" s="35" t="s">
        <v>112</v>
      </c>
      <c r="G94" s="34" t="s">
        <v>113</v>
      </c>
      <c r="H94" s="35"/>
      <c r="I94" s="34"/>
      <c r="J94" s="36"/>
      <c r="K94" s="37"/>
      <c r="O94" s="23"/>
    </row>
    <row r="95" spans="1:18" ht="12.75">
      <c r="A95" s="38">
        <v>2.49</v>
      </c>
      <c r="B95" s="39">
        <v>0.0032359365692962794</v>
      </c>
      <c r="C95" s="35"/>
      <c r="D95" s="35">
        <v>202.59</v>
      </c>
      <c r="E95" s="35"/>
      <c r="F95" s="35" t="s">
        <v>114</v>
      </c>
      <c r="G95" s="34" t="s">
        <v>113</v>
      </c>
      <c r="H95" s="35"/>
      <c r="I95" s="34"/>
      <c r="J95" s="36"/>
      <c r="K95" s="37"/>
      <c r="L95" s="31" t="s">
        <v>95</v>
      </c>
      <c r="M95" s="31" t="s">
        <v>127</v>
      </c>
      <c r="N95" s="17">
        <v>-2.47</v>
      </c>
      <c r="O95" s="23">
        <f>10^N95*1000000</f>
        <v>3388.4415613920214</v>
      </c>
      <c r="P95" s="17">
        <v>-13</v>
      </c>
      <c r="Q95" s="17">
        <f>D96</f>
        <v>205.89</v>
      </c>
      <c r="R95" s="17">
        <v>1</v>
      </c>
    </row>
    <row r="96" spans="1:18" ht="12.75">
      <c r="A96" s="38">
        <v>2.47</v>
      </c>
      <c r="B96" s="39">
        <v>0.0033884415613920213</v>
      </c>
      <c r="C96" s="35"/>
      <c r="D96" s="35">
        <v>205.89</v>
      </c>
      <c r="E96" s="35"/>
      <c r="F96" s="35" t="s">
        <v>115</v>
      </c>
      <c r="G96" s="34" t="s">
        <v>113</v>
      </c>
      <c r="H96" s="35"/>
      <c r="I96" s="34"/>
      <c r="J96" s="36"/>
      <c r="K96" s="37"/>
      <c r="M96" s="31" t="s">
        <v>123</v>
      </c>
      <c r="N96" s="17">
        <v>-2.89</v>
      </c>
      <c r="O96" s="23">
        <f>10^N96*1000000</f>
        <v>1288.249551693133</v>
      </c>
      <c r="P96" s="21">
        <f>C99</f>
        <v>-11.300276086956524</v>
      </c>
      <c r="Q96" s="21">
        <f>D99</f>
        <v>197.3</v>
      </c>
      <c r="R96" s="18">
        <f>Q96/Q95</f>
        <v>0.9582786925057071</v>
      </c>
    </row>
    <row r="97" spans="1:18" ht="12.75">
      <c r="A97" s="44">
        <v>2.83</v>
      </c>
      <c r="B97" s="45">
        <v>0.0014791083881682066</v>
      </c>
      <c r="C97" s="41">
        <v>-12.099027499999998</v>
      </c>
      <c r="D97" s="38">
        <v>201.9</v>
      </c>
      <c r="E97" s="35"/>
      <c r="F97" s="42" t="s">
        <v>116</v>
      </c>
      <c r="G97" s="34" t="s">
        <v>117</v>
      </c>
      <c r="H97" s="35"/>
      <c r="I97" s="35"/>
      <c r="J97" s="36"/>
      <c r="K97" s="37"/>
      <c r="M97" s="31" t="s">
        <v>126</v>
      </c>
      <c r="N97" s="17">
        <v>-3.3</v>
      </c>
      <c r="O97" s="23">
        <f>10^N97*1000000</f>
        <v>501.1872336272721</v>
      </c>
      <c r="P97" s="17">
        <f>'Rayleigh calculations Ernesto'!U12</f>
        <v>-10.25</v>
      </c>
      <c r="Q97" s="21">
        <f>D103</f>
        <v>192.17</v>
      </c>
      <c r="R97" s="18">
        <f>Q97/Q95</f>
        <v>0.9333624751080675</v>
      </c>
    </row>
    <row r="98" spans="1:11" ht="12.75">
      <c r="A98" s="44">
        <v>2.9</v>
      </c>
      <c r="B98" s="45">
        <v>0.0012589254117941662</v>
      </c>
      <c r="C98" s="41">
        <v>-11.397998333333332</v>
      </c>
      <c r="D98" s="38">
        <v>194.3</v>
      </c>
      <c r="E98" s="35"/>
      <c r="F98" s="35" t="s">
        <v>104</v>
      </c>
      <c r="G98" s="34" t="s">
        <v>117</v>
      </c>
      <c r="H98" s="35"/>
      <c r="I98" s="35"/>
      <c r="J98" s="36"/>
      <c r="K98" s="37"/>
    </row>
    <row r="99" spans="1:11" ht="12.75">
      <c r="A99" s="44">
        <v>2.89</v>
      </c>
      <c r="B99" s="45">
        <v>0.001288249551693133</v>
      </c>
      <c r="C99" s="41">
        <v>-11.300276086956524</v>
      </c>
      <c r="D99" s="38">
        <v>197.3</v>
      </c>
      <c r="E99" s="35"/>
      <c r="F99" s="35" t="s">
        <v>95</v>
      </c>
      <c r="G99" s="34" t="s">
        <v>117</v>
      </c>
      <c r="H99" s="35"/>
      <c r="I99" s="35"/>
      <c r="J99" s="36"/>
      <c r="K99" s="37"/>
    </row>
    <row r="100" spans="1:11" ht="12.75">
      <c r="A100" s="38"/>
      <c r="B100" s="39"/>
      <c r="C100" s="41"/>
      <c r="D100" s="41"/>
      <c r="E100" s="35"/>
      <c r="F100" s="35"/>
      <c r="G100" s="43" t="s">
        <v>118</v>
      </c>
      <c r="H100" s="35"/>
      <c r="I100" s="35"/>
      <c r="J100" s="36"/>
      <c r="K100" s="37"/>
    </row>
    <row r="101" spans="1:11" ht="12.75">
      <c r="A101" s="38">
        <v>3.3</v>
      </c>
      <c r="B101" s="39">
        <v>0.0005</v>
      </c>
      <c r="C101" s="41"/>
      <c r="D101" s="41">
        <v>195.85</v>
      </c>
      <c r="E101" s="35"/>
      <c r="F101" s="35" t="s">
        <v>116</v>
      </c>
      <c r="G101" s="34" t="s">
        <v>119</v>
      </c>
      <c r="H101" s="35"/>
      <c r="I101" s="35"/>
      <c r="J101" s="36"/>
      <c r="K101" s="37"/>
    </row>
    <row r="102" spans="1:11" ht="12.75">
      <c r="A102" s="38">
        <v>3.3</v>
      </c>
      <c r="B102" s="39">
        <v>0.0005</v>
      </c>
      <c r="C102" s="41"/>
      <c r="D102" s="41">
        <v>189.35</v>
      </c>
      <c r="E102" s="35"/>
      <c r="F102" s="35" t="s">
        <v>104</v>
      </c>
      <c r="G102" s="34" t="s">
        <v>119</v>
      </c>
      <c r="H102" s="35"/>
      <c r="I102" s="35"/>
      <c r="J102" s="36"/>
      <c r="K102" s="37"/>
    </row>
    <row r="103" spans="1:11" ht="12.75">
      <c r="A103" s="38">
        <v>3.3</v>
      </c>
      <c r="B103" s="39">
        <v>0.0005</v>
      </c>
      <c r="C103" s="41"/>
      <c r="D103" s="41">
        <v>192.17</v>
      </c>
      <c r="E103" s="35"/>
      <c r="F103" s="35" t="s">
        <v>95</v>
      </c>
      <c r="G103" s="34" t="s">
        <v>119</v>
      </c>
      <c r="H103" s="35"/>
      <c r="I103" s="35"/>
      <c r="J103" s="36"/>
      <c r="K103" s="37"/>
    </row>
    <row r="104" spans="1:11" ht="12.75">
      <c r="A104" s="38"/>
      <c r="B104" s="39"/>
      <c r="C104" s="41"/>
      <c r="D104" s="41"/>
      <c r="E104" s="35"/>
      <c r="F104" s="35"/>
      <c r="G104" s="34"/>
      <c r="H104" s="35"/>
      <c r="I104" s="35"/>
      <c r="J104" s="36"/>
      <c r="K104" s="37"/>
    </row>
    <row r="105" spans="1:11" ht="12.75">
      <c r="A105" s="38">
        <v>3.3010299956639813</v>
      </c>
      <c r="B105" s="39">
        <v>0.0005</v>
      </c>
      <c r="C105" s="35">
        <v>-8.54</v>
      </c>
      <c r="D105" s="41"/>
      <c r="E105" s="35"/>
      <c r="F105" s="34" t="s">
        <v>104</v>
      </c>
      <c r="G105" s="34" t="s">
        <v>120</v>
      </c>
      <c r="H105" s="35"/>
      <c r="I105" s="35"/>
      <c r="J105" s="36"/>
      <c r="K105" s="37"/>
    </row>
    <row r="106" spans="1:14" ht="12.75">
      <c r="A106" s="38">
        <v>3.3010299956639813</v>
      </c>
      <c r="B106" s="39">
        <v>0.0005</v>
      </c>
      <c r="C106" s="35">
        <v>-8.07</v>
      </c>
      <c r="D106" s="41"/>
      <c r="E106" s="35"/>
      <c r="F106" s="34" t="s">
        <v>95</v>
      </c>
      <c r="G106" s="34" t="s">
        <v>120</v>
      </c>
      <c r="H106" s="35"/>
      <c r="I106" s="35"/>
      <c r="J106" s="36"/>
      <c r="K106" s="37"/>
      <c r="L106" s="31" t="s">
        <v>122</v>
      </c>
      <c r="M106" s="31" t="s">
        <v>122</v>
      </c>
      <c r="N106" s="31" t="s">
        <v>0</v>
      </c>
    </row>
    <row r="107" spans="1:13" ht="12.75">
      <c r="A107" s="38"/>
      <c r="B107" s="39"/>
      <c r="C107" s="35"/>
      <c r="D107" s="41"/>
      <c r="E107" s="35"/>
      <c r="F107" s="34"/>
      <c r="G107" s="34"/>
      <c r="H107" s="35"/>
      <c r="I107" s="35"/>
      <c r="J107" s="36"/>
      <c r="K107" s="37"/>
      <c r="M107" s="23"/>
    </row>
    <row r="108" spans="1:14" ht="12.75">
      <c r="A108" s="38">
        <v>3.3010299956639813</v>
      </c>
      <c r="B108" s="39">
        <v>0.0005</v>
      </c>
      <c r="C108" s="35">
        <v>-8.24</v>
      </c>
      <c r="D108" s="41"/>
      <c r="E108" s="35"/>
      <c r="F108" s="34" t="s">
        <v>121</v>
      </c>
      <c r="G108" s="34" t="s">
        <v>120</v>
      </c>
      <c r="H108" s="35"/>
      <c r="I108" s="35"/>
      <c r="J108" s="36"/>
      <c r="K108" s="37"/>
      <c r="L108" s="17">
        <v>-2.3</v>
      </c>
      <c r="M108" s="23">
        <f aca="true" t="shared" si="9" ref="M108:M118">10^L108*1000000</f>
        <v>5011.872336272721</v>
      </c>
      <c r="N108" s="17">
        <v>-16</v>
      </c>
    </row>
    <row r="109" spans="12:14" ht="12.75">
      <c r="L109" s="17">
        <v>-2.4</v>
      </c>
      <c r="M109" s="23">
        <f t="shared" si="9"/>
        <v>3981.071705534972</v>
      </c>
      <c r="N109" s="17">
        <v>-16</v>
      </c>
    </row>
    <row r="110" spans="12:14" ht="12.75">
      <c r="L110" s="17">
        <v>-2.5</v>
      </c>
      <c r="M110" s="23">
        <f t="shared" si="9"/>
        <v>3162.2776601683763</v>
      </c>
      <c r="N110" s="17">
        <v>-16</v>
      </c>
    </row>
    <row r="111" spans="12:14" ht="12.75">
      <c r="L111" s="17">
        <v>-2.6</v>
      </c>
      <c r="M111" s="23">
        <f t="shared" si="9"/>
        <v>2511.8864315095775</v>
      </c>
      <c r="N111" s="17">
        <v>-16</v>
      </c>
    </row>
    <row r="112" spans="12:14" ht="12.75">
      <c r="L112" s="17">
        <v>-2.7</v>
      </c>
      <c r="M112" s="23">
        <f t="shared" si="9"/>
        <v>1995.262314968878</v>
      </c>
      <c r="N112" s="17">
        <v>-16</v>
      </c>
    </row>
    <row r="113" spans="12:14" ht="12.75">
      <c r="L113" s="17">
        <v>-2.8</v>
      </c>
      <c r="M113" s="23">
        <f t="shared" si="9"/>
        <v>1584.8931924611134</v>
      </c>
      <c r="N113" s="17">
        <v>-16</v>
      </c>
    </row>
    <row r="114" spans="12:14" ht="12.75">
      <c r="L114" s="17">
        <v>-2.9</v>
      </c>
      <c r="M114" s="23">
        <f t="shared" si="9"/>
        <v>1258.9254117941662</v>
      </c>
      <c r="N114" s="17">
        <v>-16</v>
      </c>
    </row>
    <row r="115" spans="12:14" ht="12.75">
      <c r="L115" s="17">
        <v>-3</v>
      </c>
      <c r="M115" s="23">
        <f t="shared" si="9"/>
        <v>1000</v>
      </c>
      <c r="N115" s="17">
        <v>-16</v>
      </c>
    </row>
    <row r="116" spans="12:14" ht="12.75">
      <c r="L116" s="17">
        <v>-3.1</v>
      </c>
      <c r="M116" s="23">
        <f t="shared" si="9"/>
        <v>794.328234724281</v>
      </c>
      <c r="N116" s="17">
        <v>-16</v>
      </c>
    </row>
    <row r="117" spans="12:14" ht="12.75">
      <c r="L117" s="17">
        <v>-3.2</v>
      </c>
      <c r="M117" s="23">
        <f t="shared" si="9"/>
        <v>630.9573444801924</v>
      </c>
      <c r="N117" s="17">
        <v>-16</v>
      </c>
    </row>
    <row r="118" spans="12:14" ht="12.75">
      <c r="L118" s="17">
        <v>-3.3</v>
      </c>
      <c r="M118" s="23">
        <f t="shared" si="9"/>
        <v>501.1872336272721</v>
      </c>
      <c r="N118" s="17">
        <v>-16</v>
      </c>
    </row>
    <row r="119" ht="12.75">
      <c r="M119" s="23"/>
    </row>
  </sheetData>
  <sheetProtection/>
  <printOptions gridLines="1"/>
  <pageMargins left="0.5511811023622047" right="0.5511811023622047" top="0.7874015748031497" bottom="0.7874015748031497" header="0.5118110236220472" footer="0.5118110236220472"/>
  <pageSetup fitToHeight="1" fitToWidth="1" horizontalDpi="300" verticalDpi="300" orientation="portrait" paperSize="9" scale="2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7"/>
  <sheetViews>
    <sheetView zoomScalePageLayoutView="0" workbookViewId="0" topLeftCell="A1">
      <pane ySplit="7785" topLeftCell="A78" activePane="bottomLeft" state="split"/>
      <selection pane="topLeft" activeCell="A13" sqref="A13"/>
      <selection pane="bottomLeft" activeCell="F82" sqref="F82"/>
    </sheetView>
  </sheetViews>
  <sheetFormatPr defaultColWidth="9.140625" defaultRowHeight="15"/>
  <cols>
    <col min="1" max="1" width="61.00390625" style="2" customWidth="1"/>
    <col min="2" max="2" width="8.8515625" style="2" customWidth="1"/>
    <col min="3" max="5" width="9.140625" style="2" customWidth="1"/>
    <col min="6" max="6" width="9.140625" style="4" customWidth="1"/>
    <col min="7" max="11" width="9.140625" style="2" customWidth="1"/>
    <col min="12" max="12" width="9.7109375" style="2" customWidth="1"/>
    <col min="13" max="13" width="9.140625" style="61" customWidth="1"/>
    <col min="14" max="14" width="11.28125" style="4" customWidth="1"/>
    <col min="15" max="15" width="12.28125" style="4" bestFit="1" customWidth="1"/>
    <col min="16" max="23" width="9.140625" style="2" customWidth="1"/>
    <col min="24" max="24" width="14.00390625" style="2" customWidth="1"/>
    <col min="25" max="26" width="9.140625" style="2" customWidth="1"/>
    <col min="27" max="27" width="9.7109375" style="2" customWidth="1"/>
    <col min="28" max="28" width="9.140625" style="61" customWidth="1"/>
    <col min="29" max="29" width="11.28125" style="4" customWidth="1"/>
    <col min="30" max="30" width="12.28125" style="4" bestFit="1" customWidth="1"/>
    <col min="31" max="31" width="9.140625" style="2" customWidth="1"/>
    <col min="32" max="32" width="9.7109375" style="2" customWidth="1"/>
    <col min="33" max="33" width="9.140625" style="61" customWidth="1"/>
    <col min="34" max="34" width="11.28125" style="4" customWidth="1"/>
    <col min="35" max="35" width="12.28125" style="4" bestFit="1" customWidth="1"/>
    <col min="36" max="16384" width="9.140625" style="2" customWidth="1"/>
  </cols>
  <sheetData>
    <row r="1" spans="2:32" ht="51">
      <c r="B1" s="3" t="s">
        <v>1</v>
      </c>
      <c r="L1" s="3" t="s">
        <v>16</v>
      </c>
      <c r="Q1" s="17"/>
      <c r="R1" s="17"/>
      <c r="S1" s="31" t="s">
        <v>122</v>
      </c>
      <c r="T1" s="31" t="s">
        <v>122</v>
      </c>
      <c r="U1" s="31" t="s">
        <v>0</v>
      </c>
      <c r="V1" s="17" t="s">
        <v>153</v>
      </c>
      <c r="W1" s="17" t="s">
        <v>78</v>
      </c>
      <c r="X1" s="77" t="s">
        <v>155</v>
      </c>
      <c r="Y1" s="9" t="s">
        <v>156</v>
      </c>
      <c r="AA1" s="3" t="s">
        <v>16</v>
      </c>
      <c r="AF1" s="3" t="s">
        <v>16</v>
      </c>
    </row>
    <row r="2" spans="1:32" ht="12.75">
      <c r="A2" s="2" t="s">
        <v>2</v>
      </c>
      <c r="B2" s="5" t="s">
        <v>3</v>
      </c>
      <c r="D2" s="2" t="s">
        <v>4</v>
      </c>
      <c r="F2" s="6">
        <f>11.98-0.12*5</f>
        <v>11.38</v>
      </c>
      <c r="L2" s="2" t="s">
        <v>17</v>
      </c>
      <c r="Q2" s="31" t="s">
        <v>103</v>
      </c>
      <c r="R2" s="31" t="s">
        <v>127</v>
      </c>
      <c r="S2" s="17">
        <v>-2.45</v>
      </c>
      <c r="T2" s="23">
        <v>3548.133892335753</v>
      </c>
      <c r="U2" s="17">
        <v>-13</v>
      </c>
      <c r="V2" s="17">
        <v>210.19</v>
      </c>
      <c r="W2" s="17">
        <v>1</v>
      </c>
      <c r="AA2" s="2" t="s">
        <v>17</v>
      </c>
      <c r="AF2" s="2" t="s">
        <v>17</v>
      </c>
    </row>
    <row r="3" spans="12:32" ht="12.75">
      <c r="L3" s="2" t="s">
        <v>18</v>
      </c>
      <c r="Q3" s="17"/>
      <c r="R3" s="31" t="s">
        <v>123</v>
      </c>
      <c r="S3" s="17">
        <v>-2.83</v>
      </c>
      <c r="T3" s="23">
        <v>1479.1083881682066</v>
      </c>
      <c r="U3" s="88">
        <v>-12.099027499999998</v>
      </c>
      <c r="V3" s="21">
        <v>201.9</v>
      </c>
      <c r="W3" s="18">
        <f>V3/V2</f>
        <v>0.9605594937913317</v>
      </c>
      <c r="X3" s="4">
        <f>O53</f>
        <v>-34.912270605073715</v>
      </c>
      <c r="Y3" s="2">
        <f>L11</f>
        <v>-22.66</v>
      </c>
      <c r="AA3" s="2" t="s">
        <v>18</v>
      </c>
      <c r="AF3" s="2" t="s">
        <v>18</v>
      </c>
    </row>
    <row r="4" spans="5:33" ht="12.75">
      <c r="E4" s="2" t="s">
        <v>5</v>
      </c>
      <c r="L4" s="9" t="s">
        <v>157</v>
      </c>
      <c r="M4" s="63" t="s">
        <v>132</v>
      </c>
      <c r="Q4" s="17"/>
      <c r="R4" s="17"/>
      <c r="S4" s="17">
        <v>-3.3</v>
      </c>
      <c r="T4" s="23">
        <v>501.1872336272721</v>
      </c>
      <c r="U4" s="89">
        <v>-11.44</v>
      </c>
      <c r="V4" s="17">
        <v>195.85</v>
      </c>
      <c r="W4" s="18">
        <f>V4/V2</f>
        <v>0.9317760121794567</v>
      </c>
      <c r="X4" s="4">
        <f>O85</f>
        <v>-34.73504486804869</v>
      </c>
      <c r="Y4" s="2">
        <f>L11</f>
        <v>-22.66</v>
      </c>
      <c r="AA4" s="9" t="s">
        <v>157</v>
      </c>
      <c r="AB4" s="63" t="s">
        <v>132</v>
      </c>
      <c r="AF4" s="9" t="s">
        <v>157</v>
      </c>
      <c r="AG4" s="63" t="s">
        <v>132</v>
      </c>
    </row>
    <row r="5" spans="1:33" ht="12.75">
      <c r="A5" s="2" t="s">
        <v>6</v>
      </c>
      <c r="C5" s="5" t="s">
        <v>7</v>
      </c>
      <c r="E5" s="2">
        <v>5</v>
      </c>
      <c r="F5" s="7">
        <f>-0.0049*E5-1.31</f>
        <v>-1.3345</v>
      </c>
      <c r="L5" s="9" t="s">
        <v>135</v>
      </c>
      <c r="M5" s="63" t="s">
        <v>133</v>
      </c>
      <c r="Q5" s="17"/>
      <c r="R5" s="17"/>
      <c r="S5" s="17"/>
      <c r="T5" s="17"/>
      <c r="U5" s="17"/>
      <c r="V5" s="17"/>
      <c r="W5" s="17"/>
      <c r="AA5" s="9" t="s">
        <v>135</v>
      </c>
      <c r="AB5" s="63" t="s">
        <v>133</v>
      </c>
      <c r="AF5" s="9" t="s">
        <v>135</v>
      </c>
      <c r="AG5" s="63" t="s">
        <v>133</v>
      </c>
    </row>
    <row r="6" spans="1:35" ht="12.75">
      <c r="A6" s="2" t="s">
        <v>8</v>
      </c>
      <c r="C6" s="5" t="s">
        <v>9</v>
      </c>
      <c r="E6" s="2">
        <v>5</v>
      </c>
      <c r="F6" s="7">
        <f>0.0954*E6+10.41</f>
        <v>10.887</v>
      </c>
      <c r="M6" s="62" t="s">
        <v>151</v>
      </c>
      <c r="N6" s="11"/>
      <c r="O6" s="11"/>
      <c r="Q6" s="31" t="s">
        <v>104</v>
      </c>
      <c r="R6" s="31" t="s">
        <v>127</v>
      </c>
      <c r="S6" s="17">
        <v>-2.49</v>
      </c>
      <c r="T6" s="23">
        <v>3235.9365692962792</v>
      </c>
      <c r="U6" s="17">
        <v>-13</v>
      </c>
      <c r="V6" s="21">
        <v>202.59</v>
      </c>
      <c r="W6" s="17">
        <v>1</v>
      </c>
      <c r="AB6" s="62" t="s">
        <v>151</v>
      </c>
      <c r="AC6" s="11"/>
      <c r="AD6" s="11"/>
      <c r="AG6" s="62" t="s">
        <v>151</v>
      </c>
      <c r="AH6" s="11"/>
      <c r="AI6" s="11"/>
    </row>
    <row r="7" spans="3:35" ht="12.75">
      <c r="C7" s="5"/>
      <c r="E7" s="2" t="s">
        <v>10</v>
      </c>
      <c r="F7" s="8">
        <f>F5+F6</f>
        <v>9.5525</v>
      </c>
      <c r="L7" s="3"/>
      <c r="M7" s="61" t="s">
        <v>20</v>
      </c>
      <c r="O7" s="12"/>
      <c r="Q7" s="17"/>
      <c r="R7" s="31" t="s">
        <v>123</v>
      </c>
      <c r="S7" s="17">
        <v>-2.9</v>
      </c>
      <c r="T7" s="23">
        <v>1258.9254117941662</v>
      </c>
      <c r="U7" s="84">
        <v>-11.397998333333332</v>
      </c>
      <c r="V7" s="21">
        <v>194.3</v>
      </c>
      <c r="W7" s="18">
        <f>V7/V6</f>
        <v>0.959079915099462</v>
      </c>
      <c r="X7" s="4">
        <f>AD58</f>
        <v>-50.836966111684646</v>
      </c>
      <c r="Y7" s="2">
        <f>AA11</f>
        <v>-39.5</v>
      </c>
      <c r="AA7" s="3"/>
      <c r="AB7" s="61" t="s">
        <v>20</v>
      </c>
      <c r="AD7" s="12"/>
      <c r="AF7" s="3"/>
      <c r="AG7" s="61" t="s">
        <v>20</v>
      </c>
      <c r="AI7" s="12"/>
    </row>
    <row r="8" spans="12:35" ht="12.75">
      <c r="L8" s="66">
        <v>6.5</v>
      </c>
      <c r="M8" s="63" t="s">
        <v>138</v>
      </c>
      <c r="O8" s="12"/>
      <c r="Q8" s="17"/>
      <c r="R8" s="31" t="s">
        <v>126</v>
      </c>
      <c r="S8" s="17">
        <v>-3.3</v>
      </c>
      <c r="T8" s="23">
        <v>501.1872336272721</v>
      </c>
      <c r="U8" s="17">
        <v>-10.43</v>
      </c>
      <c r="V8" s="17">
        <v>189.35</v>
      </c>
      <c r="W8" s="18">
        <f>V8/V6</f>
        <v>0.9346463300261612</v>
      </c>
      <c r="X8" s="4">
        <f>AD82</f>
        <v>-50.610841693048144</v>
      </c>
      <c r="Y8" s="2">
        <f>AA11</f>
        <v>-39.5</v>
      </c>
      <c r="AA8" s="66">
        <v>6.5</v>
      </c>
      <c r="AB8" s="63" t="s">
        <v>138</v>
      </c>
      <c r="AD8" s="12"/>
      <c r="AF8" s="66">
        <v>6.5</v>
      </c>
      <c r="AG8" s="63" t="s">
        <v>138</v>
      </c>
      <c r="AI8" s="12"/>
    </row>
    <row r="9" spans="1:35" ht="12.75">
      <c r="A9" s="2" t="s">
        <v>11</v>
      </c>
      <c r="C9" s="5" t="s">
        <v>12</v>
      </c>
      <c r="E9" s="2">
        <v>5</v>
      </c>
      <c r="F9" s="8">
        <f>-0.41*4:4+10.78</f>
        <v>10.78</v>
      </c>
      <c r="L9" s="3">
        <f>IF(L4="Y",LOOKUP(L8,D18:E49),"")</f>
      </c>
      <c r="M9" s="61" t="s">
        <v>21</v>
      </c>
      <c r="O9" s="12"/>
      <c r="Q9" s="17"/>
      <c r="R9" s="17"/>
      <c r="S9" s="17"/>
      <c r="T9" s="23"/>
      <c r="U9" s="17"/>
      <c r="V9" s="17"/>
      <c r="W9" s="17"/>
      <c r="AA9" s="3">
        <f>IF(AA4="Y",LOOKUP(AA8,S18:T49),"")</f>
      </c>
      <c r="AB9" s="61" t="s">
        <v>21</v>
      </c>
      <c r="AD9" s="12"/>
      <c r="AF9" s="3">
        <f>IF(AF4="Y",LOOKUP(AF8,X18:Y49),"")</f>
      </c>
      <c r="AG9" s="61" t="s">
        <v>21</v>
      </c>
      <c r="AI9" s="12"/>
    </row>
    <row r="10" spans="12:35" ht="12.75">
      <c r="L10" s="3">
        <f>IF(L5="Y",LOOKUP(L8,D18:F49),"")</f>
      </c>
      <c r="M10" s="61" t="s">
        <v>22</v>
      </c>
      <c r="O10" s="12"/>
      <c r="P10" s="10"/>
      <c r="Q10" s="31" t="s">
        <v>95</v>
      </c>
      <c r="R10" s="31" t="s">
        <v>127</v>
      </c>
      <c r="S10" s="17">
        <v>-2.47</v>
      </c>
      <c r="T10" s="23">
        <v>3388.4415613920214</v>
      </c>
      <c r="U10" s="17">
        <v>-13</v>
      </c>
      <c r="V10" s="21">
        <v>205.89</v>
      </c>
      <c r="W10" s="17">
        <v>1</v>
      </c>
      <c r="AA10" s="3">
        <f>IF(AA5="Y",LOOKUP(AA8,S18:U49),"")</f>
      </c>
      <c r="AB10" s="61" t="s">
        <v>22</v>
      </c>
      <c r="AD10" s="12"/>
      <c r="AF10" s="3">
        <f>IF(AF5="Y",LOOKUP(AF8,X18:Z49),"")</f>
      </c>
      <c r="AG10" s="61" t="s">
        <v>22</v>
      </c>
      <c r="AI10" s="12"/>
    </row>
    <row r="11" spans="1:35" ht="12.75">
      <c r="A11" s="2" t="s">
        <v>13</v>
      </c>
      <c r="F11" s="4">
        <v>0.94</v>
      </c>
      <c r="L11" s="78">
        <v>-22.66</v>
      </c>
      <c r="M11" s="70" t="s">
        <v>152</v>
      </c>
      <c r="O11" s="12"/>
      <c r="Q11" s="17"/>
      <c r="R11" s="31" t="s">
        <v>123</v>
      </c>
      <c r="S11" s="17">
        <v>-2.89</v>
      </c>
      <c r="T11" s="23">
        <v>1288.249551693133</v>
      </c>
      <c r="U11" s="84">
        <v>-11.300276086956524</v>
      </c>
      <c r="V11" s="80">
        <v>197.3</v>
      </c>
      <c r="W11" s="18">
        <f>V11/V10</f>
        <v>0.9582786925057071</v>
      </c>
      <c r="X11" s="4">
        <f>AI59</f>
        <v>-52.23546185914125</v>
      </c>
      <c r="Y11" s="2">
        <f>AF11</f>
        <v>-41</v>
      </c>
      <c r="AA11" s="78">
        <v>-39.5</v>
      </c>
      <c r="AB11" s="70" t="s">
        <v>152</v>
      </c>
      <c r="AD11" s="12"/>
      <c r="AF11" s="78">
        <v>-41</v>
      </c>
      <c r="AG11" s="70" t="s">
        <v>152</v>
      </c>
      <c r="AI11" s="12"/>
    </row>
    <row r="12" spans="5:35" ht="12.75">
      <c r="E12" s="2" t="s">
        <v>14</v>
      </c>
      <c r="F12" s="6">
        <f>F7+F11</f>
        <v>10.4925</v>
      </c>
      <c r="L12" s="3">
        <f>AVERAGE(L9:L11)</f>
        <v>-22.66</v>
      </c>
      <c r="M12" s="63" t="s">
        <v>137</v>
      </c>
      <c r="O12" s="12"/>
      <c r="Q12" s="17"/>
      <c r="R12" s="31" t="s">
        <v>126</v>
      </c>
      <c r="S12" s="17">
        <v>-3.3</v>
      </c>
      <c r="T12" s="23">
        <v>501.1872336272721</v>
      </c>
      <c r="U12" s="17">
        <v>-10.25</v>
      </c>
      <c r="V12" s="2">
        <v>192.17</v>
      </c>
      <c r="W12" s="18">
        <f>V12/V10</f>
        <v>0.9333624751080675</v>
      </c>
      <c r="X12" s="4">
        <f>AI84</f>
        <v>-51.9913343556205</v>
      </c>
      <c r="Y12" s="2">
        <f>AF11</f>
        <v>-41</v>
      </c>
      <c r="AA12" s="3">
        <f>AVERAGE(AA9:AA11)</f>
        <v>-39.5</v>
      </c>
      <c r="AB12" s="63" t="s">
        <v>137</v>
      </c>
      <c r="AD12" s="12"/>
      <c r="AF12" s="3">
        <f>AVERAGE(AF9:AF11)</f>
        <v>-41</v>
      </c>
      <c r="AG12" s="63" t="s">
        <v>137</v>
      </c>
      <c r="AI12" s="12"/>
    </row>
    <row r="13" spans="5:35" ht="12.75">
      <c r="E13" s="2" t="s">
        <v>15</v>
      </c>
      <c r="F13" s="6">
        <f>F9+F11</f>
        <v>11.719999999999999</v>
      </c>
      <c r="L13" s="3">
        <f>EXP(L12/1000)</f>
        <v>0.9775948095099338</v>
      </c>
      <c r="M13" s="61" t="s">
        <v>23</v>
      </c>
      <c r="O13" s="12"/>
      <c r="AA13" s="3">
        <f>EXP(AA12/1000)</f>
        <v>0.9612699539905982</v>
      </c>
      <c r="AB13" s="61" t="s">
        <v>23</v>
      </c>
      <c r="AD13" s="12"/>
      <c r="AF13" s="3">
        <f>EXP(AF12/1000)</f>
        <v>0.9598291299477989</v>
      </c>
      <c r="AG13" s="61" t="s">
        <v>23</v>
      </c>
      <c r="AI13" s="12"/>
    </row>
    <row r="14" spans="12:33" ht="12.75">
      <c r="L14" s="2">
        <v>-13</v>
      </c>
      <c r="M14" s="63" t="s">
        <v>25</v>
      </c>
      <c r="AA14" s="2">
        <v>-13</v>
      </c>
      <c r="AB14" s="63" t="s">
        <v>25</v>
      </c>
      <c r="AF14" s="2">
        <v>-13</v>
      </c>
      <c r="AG14" s="63" t="s">
        <v>25</v>
      </c>
    </row>
    <row r="15" spans="1:33" ht="15">
      <c r="A15" s="1" t="s">
        <v>26</v>
      </c>
      <c r="B15"/>
      <c r="C15"/>
      <c r="D15"/>
      <c r="E15" s="13"/>
      <c r="F15" s="13"/>
      <c r="G15" s="13"/>
      <c r="H15" s="13"/>
      <c r="I15" s="13"/>
      <c r="J15" s="13"/>
      <c r="K15"/>
      <c r="L15" s="73" t="s">
        <v>103</v>
      </c>
      <c r="M15" s="63" t="s">
        <v>154</v>
      </c>
      <c r="AA15" s="73" t="s">
        <v>104</v>
      </c>
      <c r="AB15" s="63" t="s">
        <v>154</v>
      </c>
      <c r="AF15" s="73" t="s">
        <v>95</v>
      </c>
      <c r="AG15" s="63" t="s">
        <v>154</v>
      </c>
    </row>
    <row r="16" spans="1:35" ht="27.75">
      <c r="A16"/>
      <c r="B16"/>
      <c r="C16" t="s">
        <v>27</v>
      </c>
      <c r="D16" t="s">
        <v>28</v>
      </c>
      <c r="E16" s="67" t="s">
        <v>139</v>
      </c>
      <c r="F16" s="67" t="s">
        <v>140</v>
      </c>
      <c r="G16" s="67" t="s">
        <v>141</v>
      </c>
      <c r="H16" s="67" t="s">
        <v>142</v>
      </c>
      <c r="I16" s="67" t="s">
        <v>143</v>
      </c>
      <c r="J16" s="67" t="s">
        <v>144</v>
      </c>
      <c r="K16"/>
      <c r="L16" s="58" t="s">
        <v>78</v>
      </c>
      <c r="M16" s="63" t="s">
        <v>129</v>
      </c>
      <c r="N16" s="60" t="s">
        <v>130</v>
      </c>
      <c r="O16" s="59" t="s">
        <v>131</v>
      </c>
      <c r="AA16" s="58" t="s">
        <v>78</v>
      </c>
      <c r="AB16" s="63" t="s">
        <v>129</v>
      </c>
      <c r="AC16" s="60" t="s">
        <v>130</v>
      </c>
      <c r="AD16" s="59" t="s">
        <v>131</v>
      </c>
      <c r="AF16" s="58" t="s">
        <v>78</v>
      </c>
      <c r="AG16" s="63" t="s">
        <v>129</v>
      </c>
      <c r="AH16" s="60" t="s">
        <v>130</v>
      </c>
      <c r="AI16" s="59" t="s">
        <v>131</v>
      </c>
    </row>
    <row r="17" spans="1:34" ht="15">
      <c r="A17" s="57" t="s">
        <v>29</v>
      </c>
      <c r="B17"/>
      <c r="C17" t="s">
        <v>5</v>
      </c>
      <c r="D17" t="s">
        <v>5</v>
      </c>
      <c r="E17" s="13"/>
      <c r="F17" s="13"/>
      <c r="G17" s="13"/>
      <c r="H17" s="13"/>
      <c r="I17" s="13"/>
      <c r="J17" s="13"/>
      <c r="K17"/>
      <c r="L17" s="2">
        <v>1</v>
      </c>
      <c r="M17" s="61">
        <f aca="true" t="shared" si="0" ref="M17:M48">-1000*(1-10^((LOG(1+L$14/1000)+(L$13-1)*LOG(L17))))</f>
        <v>-13.00000000000001</v>
      </c>
      <c r="N17" s="28">
        <f>L14+L12</f>
        <v>-35.66</v>
      </c>
      <c r="AA17" s="2">
        <v>1</v>
      </c>
      <c r="AB17" s="61">
        <f aca="true" t="shared" si="1" ref="AB17:AB80">-1000*(1-10^((LOG(1+AA$14/1000)+(AA$13-1)*LOG(AA17))))</f>
        <v>-13.00000000000001</v>
      </c>
      <c r="AC17" s="28">
        <f>AA14+AA12</f>
        <v>-52.5</v>
      </c>
      <c r="AF17" s="2">
        <v>1</v>
      </c>
      <c r="AG17" s="61">
        <f aca="true" t="shared" si="2" ref="AG17:AG80">-1000*(1-10^((LOG(1+AF$14/1000)+(AF$13-1)*LOG(AF17))))</f>
        <v>-13.00000000000001</v>
      </c>
      <c r="AH17" s="28">
        <f>AF14+AF12</f>
        <v>-54</v>
      </c>
    </row>
    <row r="18" spans="1:35" ht="20.25">
      <c r="A18" s="57" t="s">
        <v>93</v>
      </c>
      <c r="B18" s="68" t="s">
        <v>145</v>
      </c>
      <c r="C18">
        <v>273.16</v>
      </c>
      <c r="D18">
        <v>0</v>
      </c>
      <c r="E18" s="13">
        <f>(-9.483/C18+0.02389)*1000</f>
        <v>-10.825917411041143</v>
      </c>
      <c r="F18" s="13">
        <f>(-4.232/C18+0.0151)*1000</f>
        <v>-0.3927515009518219</v>
      </c>
      <c r="G18" s="13">
        <f>1000*((1/1.0346*EXP(18.03/C18-0.03242)/EXP(0.0032798-10.611/C18+1803.4/C18^2)-1))</f>
        <v>11.027362322905354</v>
      </c>
      <c r="H18" s="13">
        <f>1000*((1/1.0346*EXP(18.03/C18-0.03242))-1)</f>
        <v>-0.42951468375329593</v>
      </c>
      <c r="I18" s="13">
        <f>1000*(1/1.0346-1)</f>
        <v>-33.442876473999576</v>
      </c>
      <c r="J18" s="13">
        <f>1000*(EXP(18.03/C18-0.03242)-1)</f>
        <v>34.155624108188846</v>
      </c>
      <c r="K18"/>
      <c r="L18" s="2">
        <v>0.999</v>
      </c>
      <c r="M18" s="61">
        <f t="shared" si="0"/>
        <v>-12.977874764664943</v>
      </c>
      <c r="N18" s="4">
        <f>(L$14-(M18*L18))/(1-L18)</f>
        <v>-35.10311009972253</v>
      </c>
      <c r="O18" s="4">
        <f aca="true" t="shared" si="3" ref="O18:O81">((L17-L18)*N18+(L$17-L17)*O17)/(L$17-L18)</f>
        <v>-35.10311009972253</v>
      </c>
      <c r="AA18" s="2">
        <v>0.999</v>
      </c>
      <c r="AB18" s="61">
        <f t="shared" si="1"/>
        <v>-12.961753577550583</v>
      </c>
      <c r="AC18" s="4">
        <f>(AA$14-(AB18*AA18))/(1-AA18)</f>
        <v>-51.20817602696799</v>
      </c>
      <c r="AD18" s="4">
        <f aca="true" t="shared" si="4" ref="AD18:AD81">((AA17-AA18)*AC18+(AA$17-AA17)*AD17)/(AA$17-AA18)</f>
        <v>-51.20817602696799</v>
      </c>
      <c r="AF18" s="2">
        <v>0.999</v>
      </c>
      <c r="AG18" s="61">
        <f t="shared" si="2"/>
        <v>-12.960330716539792</v>
      </c>
      <c r="AH18" s="4">
        <f>(AF$14-(AG18*AF18))/(1-AF18)</f>
        <v>-52.62961417674811</v>
      </c>
      <c r="AI18" s="4">
        <f aca="true" t="shared" si="5" ref="AI18:AI81">((AF17-AF18)*AH18+(AF$17-AF17)*AI17)/(AF$17-AF18)</f>
        <v>-52.62961417674811</v>
      </c>
    </row>
    <row r="19" spans="1:35" ht="20.25">
      <c r="A19" s="57" t="s">
        <v>88</v>
      </c>
      <c r="B19" s="68" t="s">
        <v>146</v>
      </c>
      <c r="C19">
        <f>C18+1</f>
        <v>274.16</v>
      </c>
      <c r="D19">
        <f>D18+1</f>
        <v>1</v>
      </c>
      <c r="E19" s="13">
        <f aca="true" t="shared" si="6" ref="E19:E49">(-9.483/C19+0.02389)*1000</f>
        <v>-10.699290925007293</v>
      </c>
      <c r="F19" s="13">
        <f aca="true" t="shared" si="7" ref="F19:F49">(-4.232/C19+0.0151)*1000</f>
        <v>-0.33624161073825437</v>
      </c>
      <c r="G19" s="13">
        <f aca="true" t="shared" si="8" ref="G19:G49">1000*((1/1.0346*EXP(18.03/C19-0.03242)/EXP(0.0032798-10.611/C19+1803.4/C19^2)-1))</f>
        <v>10.818655228875595</v>
      </c>
      <c r="H19" s="13">
        <f aca="true" t="shared" si="9" ref="H19:H49">1000*((1/1.0346*EXP(18.03/C19-0.03242))-1)</f>
        <v>-0.6701368748719405</v>
      </c>
      <c r="I19" s="13">
        <f aca="true" t="shared" si="10" ref="I19:I49">1000*(1/1.0346-1)</f>
        <v>-33.442876473999576</v>
      </c>
      <c r="J19" s="13">
        <f aca="true" t="shared" si="11" ref="J19:J49">1000*(EXP(18.03/C19-0.03242)-1)</f>
        <v>33.906676389257484</v>
      </c>
      <c r="K19"/>
      <c r="L19" s="2">
        <v>0.998</v>
      </c>
      <c r="M19" s="61">
        <f t="shared" si="0"/>
        <v>-12.955726874133822</v>
      </c>
      <c r="N19" s="4">
        <f aca="true" t="shared" si="12" ref="N19:N82">(L$14-(M19*L19))/(1-L19)</f>
        <v>-35.0922898072232</v>
      </c>
      <c r="O19" s="4">
        <f t="shared" si="3"/>
        <v>-35.09769995347286</v>
      </c>
      <c r="AA19" s="2">
        <v>0.998</v>
      </c>
      <c r="AB19" s="61">
        <f t="shared" si="1"/>
        <v>-12.923467366933838</v>
      </c>
      <c r="AC19" s="4">
        <f aca="true" t="shared" si="13" ref="AC19:AC82">(AA$14-(AB19*AA19))/(1-AA19)</f>
        <v>-51.18978390001501</v>
      </c>
      <c r="AD19" s="4">
        <f t="shared" si="4"/>
        <v>-51.198979963491496</v>
      </c>
      <c r="AF19" s="2">
        <v>0.998</v>
      </c>
      <c r="AG19" s="61">
        <f t="shared" si="2"/>
        <v>-12.920620107421342</v>
      </c>
      <c r="AH19" s="4">
        <f aca="true" t="shared" si="14" ref="AH19:AH82">(AF$14-(AG19*AF19))/(1-AF19)</f>
        <v>-52.610566396750386</v>
      </c>
      <c r="AI19" s="4">
        <f t="shared" si="5"/>
        <v>-52.62009028674925</v>
      </c>
    </row>
    <row r="20" spans="1:35" ht="15.75">
      <c r="A20" s="57"/>
      <c r="B20" s="69"/>
      <c r="C20">
        <f aca="true" t="shared" si="15" ref="C20:D36">C19+1</f>
        <v>275.16</v>
      </c>
      <c r="D20">
        <f t="shared" si="15"/>
        <v>2</v>
      </c>
      <c r="E20" s="13">
        <f t="shared" si="6"/>
        <v>-10.573584823375489</v>
      </c>
      <c r="F20" s="13">
        <f t="shared" si="7"/>
        <v>-0.28014246256723163</v>
      </c>
      <c r="G20" s="13">
        <f t="shared" si="8"/>
        <v>10.610864880011617</v>
      </c>
      <c r="H20" s="13">
        <f t="shared" si="9"/>
        <v>-0.908952810044994</v>
      </c>
      <c r="I20" s="13">
        <f t="shared" si="10"/>
        <v>-33.442876473999576</v>
      </c>
      <c r="J20" s="13">
        <f t="shared" si="11"/>
        <v>33.659597422727394</v>
      </c>
      <c r="K20"/>
      <c r="L20" s="2">
        <v>0.997</v>
      </c>
      <c r="M20" s="61">
        <f t="shared" si="0"/>
        <v>-12.933556282473834</v>
      </c>
      <c r="N20" s="4">
        <f t="shared" si="12"/>
        <v>-35.081462124529345</v>
      </c>
      <c r="O20" s="4">
        <f t="shared" si="3"/>
        <v>-35.09228734382502</v>
      </c>
      <c r="AA20" s="2">
        <v>0.997</v>
      </c>
      <c r="AB20" s="61">
        <f t="shared" si="1"/>
        <v>-12.885141286827494</v>
      </c>
      <c r="AC20" s="4">
        <f t="shared" si="13"/>
        <v>-51.17137901099625</v>
      </c>
      <c r="AD20" s="4">
        <f t="shared" si="4"/>
        <v>-51.18977964599308</v>
      </c>
      <c r="AF20" s="2">
        <v>0.997</v>
      </c>
      <c r="AG20" s="61">
        <f t="shared" si="2"/>
        <v>-12.880868088120057</v>
      </c>
      <c r="AH20" s="4">
        <f t="shared" si="14"/>
        <v>-52.59150538143464</v>
      </c>
      <c r="AI20" s="4">
        <f t="shared" si="5"/>
        <v>-52.61056198497772</v>
      </c>
    </row>
    <row r="21" spans="1:35" ht="15.75">
      <c r="A21" s="57" t="s">
        <v>33</v>
      </c>
      <c r="B21" s="69"/>
      <c r="C21">
        <f t="shared" si="15"/>
        <v>276.16</v>
      </c>
      <c r="D21">
        <f t="shared" si="15"/>
        <v>3</v>
      </c>
      <c r="E21" s="13">
        <f t="shared" si="6"/>
        <v>-10.448789107763611</v>
      </c>
      <c r="F21" s="13">
        <f t="shared" si="7"/>
        <v>-0.2244495944380056</v>
      </c>
      <c r="G21" s="13">
        <f t="shared" si="8"/>
        <v>10.403988196564518</v>
      </c>
      <c r="H21" s="13">
        <f t="shared" si="9"/>
        <v>-1.1459827447546367</v>
      </c>
      <c r="I21" s="13">
        <f t="shared" si="10"/>
        <v>-33.442876473999576</v>
      </c>
      <c r="J21" s="13">
        <f t="shared" si="11"/>
        <v>33.414366252276785</v>
      </c>
      <c r="K21"/>
      <c r="L21" s="2">
        <v>0.996</v>
      </c>
      <c r="M21" s="61">
        <f t="shared" si="0"/>
        <v>-12.911362943611948</v>
      </c>
      <c r="N21" s="4">
        <f t="shared" si="12"/>
        <v>-35.070627040624885</v>
      </c>
      <c r="O21" s="4">
        <f t="shared" si="3"/>
        <v>-35.08687226802498</v>
      </c>
      <c r="AA21" s="2">
        <v>0.996</v>
      </c>
      <c r="AB21" s="61">
        <f t="shared" si="1"/>
        <v>-12.846775255661246</v>
      </c>
      <c r="AC21" s="4">
        <f t="shared" si="13"/>
        <v>-51.15296134034959</v>
      </c>
      <c r="AD21" s="4">
        <f t="shared" si="4"/>
        <v>-51.180575069582204</v>
      </c>
      <c r="AF21" s="2">
        <v>0.996</v>
      </c>
      <c r="AG21" s="61">
        <f t="shared" si="2"/>
        <v>-12.841074573853529</v>
      </c>
      <c r="AH21" s="4">
        <f t="shared" si="14"/>
        <v>-52.572431110471335</v>
      </c>
      <c r="AI21" s="4">
        <f t="shared" si="5"/>
        <v>-52.60102926635113</v>
      </c>
    </row>
    <row r="22" spans="1:35" ht="20.25">
      <c r="A22" s="57" t="s">
        <v>34</v>
      </c>
      <c r="B22" s="68" t="s">
        <v>147</v>
      </c>
      <c r="C22">
        <f t="shared" si="15"/>
        <v>277.16</v>
      </c>
      <c r="D22">
        <f t="shared" si="15"/>
        <v>4</v>
      </c>
      <c r="E22" s="13">
        <f t="shared" si="6"/>
        <v>-10.324893924087169</v>
      </c>
      <c r="F22" s="13">
        <f t="shared" si="7"/>
        <v>-0.1691586087458497</v>
      </c>
      <c r="G22" s="13">
        <f t="shared" si="8"/>
        <v>10.198022039855426</v>
      </c>
      <c r="H22" s="13">
        <f t="shared" si="9"/>
        <v>-1.3812466328454454</v>
      </c>
      <c r="I22" s="13">
        <f t="shared" si="10"/>
        <v>-33.442876473999576</v>
      </c>
      <c r="J22" s="13">
        <f t="shared" si="11"/>
        <v>33.17096223365801</v>
      </c>
      <c r="K22"/>
      <c r="L22" s="2">
        <v>0.995</v>
      </c>
      <c r="M22" s="61">
        <f t="shared" si="0"/>
        <v>-12.889146811335683</v>
      </c>
      <c r="N22" s="4">
        <f t="shared" si="12"/>
        <v>-35.05978454419886</v>
      </c>
      <c r="O22" s="4">
        <f t="shared" si="3"/>
        <v>-35.08145472325976</v>
      </c>
      <c r="AA22" s="2">
        <v>0.995</v>
      </c>
      <c r="AB22" s="61">
        <f t="shared" si="1"/>
        <v>-12.808369191615876</v>
      </c>
      <c r="AC22" s="4">
        <f t="shared" si="13"/>
        <v>-51.13453086844078</v>
      </c>
      <c r="AD22" s="4">
        <f t="shared" si="4"/>
        <v>-51.17136622935392</v>
      </c>
      <c r="AF22" s="2">
        <v>0.995</v>
      </c>
      <c r="AG22" s="61">
        <f t="shared" si="2"/>
        <v>-12.801239479580783</v>
      </c>
      <c r="AH22" s="4">
        <f t="shared" si="14"/>
        <v>-52.55334356342404</v>
      </c>
      <c r="AI22" s="4">
        <f t="shared" si="5"/>
        <v>-52.591492125765704</v>
      </c>
    </row>
    <row r="23" spans="1:35" ht="20.25">
      <c r="A23" s="57" t="s">
        <v>36</v>
      </c>
      <c r="B23" s="68" t="s">
        <v>148</v>
      </c>
      <c r="C23">
        <f t="shared" si="15"/>
        <v>278.16</v>
      </c>
      <c r="D23">
        <f t="shared" si="15"/>
        <v>5</v>
      </c>
      <c r="E23" s="13">
        <f t="shared" si="6"/>
        <v>-10.201889559965483</v>
      </c>
      <c r="F23" s="13">
        <f t="shared" si="7"/>
        <v>-0.11426517112453176</v>
      </c>
      <c r="G23" s="13">
        <f t="shared" si="8"/>
        <v>9.992963215246453</v>
      </c>
      <c r="H23" s="13">
        <f t="shared" si="9"/>
        <v>-1.6147641321171413</v>
      </c>
      <c r="I23" s="13">
        <f t="shared" si="10"/>
        <v>-33.442876473999576</v>
      </c>
      <c r="J23" s="13">
        <f t="shared" si="11"/>
        <v>32.929365028911526</v>
      </c>
      <c r="K23"/>
      <c r="L23" s="2">
        <v>0.994</v>
      </c>
      <c r="M23" s="61">
        <f t="shared" si="0"/>
        <v>-12.866907839292342</v>
      </c>
      <c r="N23" s="4">
        <f t="shared" si="12"/>
        <v>-35.048934623902134</v>
      </c>
      <c r="O23" s="4">
        <f t="shared" si="3"/>
        <v>-35.076034706700156</v>
      </c>
      <c r="AA23" s="2">
        <v>0.994</v>
      </c>
      <c r="AB23" s="61">
        <f t="shared" si="1"/>
        <v>-12.769923012622254</v>
      </c>
      <c r="AC23" s="4">
        <f t="shared" si="13"/>
        <v>-51.11608757558002</v>
      </c>
      <c r="AD23" s="4">
        <f t="shared" si="4"/>
        <v>-51.1621531203916</v>
      </c>
      <c r="AF23" s="2">
        <v>0.994</v>
      </c>
      <c r="AG23" s="61">
        <f t="shared" si="2"/>
        <v>-12.761362720000502</v>
      </c>
      <c r="AH23" s="4">
        <f t="shared" si="14"/>
        <v>-52.53424271991694</v>
      </c>
      <c r="AI23" s="4">
        <f t="shared" si="5"/>
        <v>-52.58195055812424</v>
      </c>
    </row>
    <row r="24" spans="1:35" ht="20.25">
      <c r="A24" s="57" t="s">
        <v>38</v>
      </c>
      <c r="B24" s="68" t="s">
        <v>149</v>
      </c>
      <c r="C24">
        <f t="shared" si="15"/>
        <v>279.16</v>
      </c>
      <c r="D24">
        <f t="shared" si="15"/>
        <v>6</v>
      </c>
      <c r="E24" s="13">
        <f t="shared" si="6"/>
        <v>-10.07976644218369</v>
      </c>
      <c r="F24" s="13">
        <f t="shared" si="7"/>
        <v>-0.05976500931365383</v>
      </c>
      <c r="G24" s="13">
        <f t="shared" si="8"/>
        <v>9.788808475005961</v>
      </c>
      <c r="H24" s="13">
        <f t="shared" si="9"/>
        <v>-1.846554609792661</v>
      </c>
      <c r="I24" s="13">
        <f t="shared" si="10"/>
        <v>-33.442876473999576</v>
      </c>
      <c r="J24" s="13">
        <f t="shared" si="11"/>
        <v>32.68955460070843</v>
      </c>
      <c r="K24"/>
      <c r="L24" s="2">
        <v>0.993</v>
      </c>
      <c r="M24" s="61">
        <f t="shared" si="0"/>
        <v>-12.844645980987446</v>
      </c>
      <c r="N24" s="4">
        <f t="shared" si="12"/>
        <v>-35.038077268495186</v>
      </c>
      <c r="O24" s="4">
        <f t="shared" si="3"/>
        <v>-35.070612215528016</v>
      </c>
      <c r="AA24" s="2">
        <v>0.993</v>
      </c>
      <c r="AB24" s="61">
        <f t="shared" si="1"/>
        <v>-12.731436636360005</v>
      </c>
      <c r="AC24" s="4">
        <f t="shared" si="13"/>
        <v>-51.09763144207358</v>
      </c>
      <c r="AD24" s="4">
        <f t="shared" si="4"/>
        <v>-51.15293573777474</v>
      </c>
      <c r="AF24" s="2">
        <v>0.993</v>
      </c>
      <c r="AG24" s="61">
        <f t="shared" si="2"/>
        <v>-12.721444209550125</v>
      </c>
      <c r="AH24" s="4">
        <f t="shared" si="14"/>
        <v>-52.515128559532144</v>
      </c>
      <c r="AI24" s="4">
        <f t="shared" si="5"/>
        <v>-52.57240455832537</v>
      </c>
    </row>
    <row r="25" spans="1:35" ht="20.25">
      <c r="A25" s="57" t="s">
        <v>40</v>
      </c>
      <c r="B25" s="68" t="s">
        <v>150</v>
      </c>
      <c r="C25" s="64">
        <v>279.66</v>
      </c>
      <c r="D25" s="64">
        <v>6.5</v>
      </c>
      <c r="E25" s="65">
        <f>(-9.483/C25+0.02389)*1000</f>
        <v>-10.019032396481443</v>
      </c>
      <c r="F25" s="65">
        <f>(-4.232/C25+0.0151)*1000</f>
        <v>-0.0326610884645636</v>
      </c>
      <c r="G25" s="65">
        <f>1000*((1/1.0346*EXP(18.03/C25-0.03242)/EXP(0.0032798-10.611/C25+1803.4/C25^2)-1))</f>
        <v>9.687069107771507</v>
      </c>
      <c r="H25" s="65">
        <f>1000*((1/1.0346*EXP(18.03/C25-0.03242))-1)</f>
        <v>-1.9618081896531914</v>
      </c>
      <c r="I25" s="65">
        <f t="shared" si="10"/>
        <v>-33.442876473999576</v>
      </c>
      <c r="J25" s="65">
        <f>1000*(EXP(18.03/C25-0.03242)-1)</f>
        <v>32.57031324698478</v>
      </c>
      <c r="K25"/>
      <c r="L25" s="2">
        <v>0.992</v>
      </c>
      <c r="M25" s="61">
        <f t="shared" si="0"/>
        <v>-12.822361189785635</v>
      </c>
      <c r="N25" s="4">
        <f t="shared" si="12"/>
        <v>-35.027212466581325</v>
      </c>
      <c r="O25" s="4">
        <f t="shared" si="3"/>
        <v>-35.06518724690968</v>
      </c>
      <c r="AA25" s="2">
        <v>0.992</v>
      </c>
      <c r="AB25" s="61">
        <f t="shared" si="1"/>
        <v>-12.69290998025696</v>
      </c>
      <c r="AC25" s="4">
        <f t="shared" si="13"/>
        <v>-51.07916244813699</v>
      </c>
      <c r="AD25" s="4">
        <f t="shared" si="4"/>
        <v>-51.14371407657002</v>
      </c>
      <c r="AF25" s="2">
        <v>0.992</v>
      </c>
      <c r="AG25" s="61">
        <f t="shared" si="2"/>
        <v>-12.681483862405972</v>
      </c>
      <c r="AH25" s="4">
        <f t="shared" si="14"/>
        <v>-52.49600106165948</v>
      </c>
      <c r="AI25" s="4">
        <f t="shared" si="5"/>
        <v>-52.562854121242125</v>
      </c>
    </row>
    <row r="26" spans="1:35" ht="15">
      <c r="A26"/>
      <c r="B26"/>
      <c r="C26">
        <f>C24+1</f>
        <v>280.16</v>
      </c>
      <c r="D26">
        <f>D24+1</f>
        <v>7</v>
      </c>
      <c r="E26" s="13">
        <f t="shared" si="6"/>
        <v>-9.95851513420902</v>
      </c>
      <c r="F26" s="13">
        <f t="shared" si="7"/>
        <v>-0.00565391205025606</v>
      </c>
      <c r="G26" s="13">
        <f t="shared" si="8"/>
        <v>9.585554521071016</v>
      </c>
      <c r="H26" s="13">
        <f t="shared" si="9"/>
        <v>-2.0766371478662116</v>
      </c>
      <c r="I26" s="13">
        <f t="shared" si="10"/>
        <v>-33.442876473999576</v>
      </c>
      <c r="J26" s="13">
        <f t="shared" si="11"/>
        <v>32.45151120681755</v>
      </c>
      <c r="K26"/>
      <c r="L26" s="2">
        <v>0.991</v>
      </c>
      <c r="M26" s="61">
        <f t="shared" si="0"/>
        <v>-12.800053418909219</v>
      </c>
      <c r="N26" s="4">
        <f t="shared" si="12"/>
        <v>-35.01634020677374</v>
      </c>
      <c r="O26" s="4">
        <f t="shared" si="3"/>
        <v>-35.05975979800569</v>
      </c>
      <c r="AA26" s="2">
        <v>0.991</v>
      </c>
      <c r="AB26" s="61">
        <f t="shared" si="1"/>
        <v>-12.654342961487819</v>
      </c>
      <c r="AC26" s="4">
        <f t="shared" si="13"/>
        <v>-51.06068057395237</v>
      </c>
      <c r="AD26" s="4">
        <f t="shared" si="4"/>
        <v>-51.13448813183472</v>
      </c>
      <c r="AF26" s="2">
        <v>0.991</v>
      </c>
      <c r="AG26" s="61">
        <f t="shared" si="2"/>
        <v>-12.64148159248002</v>
      </c>
      <c r="AH26" s="4">
        <f t="shared" si="14"/>
        <v>-52.47686020581114</v>
      </c>
      <c r="AI26" s="4">
        <f t="shared" si="5"/>
        <v>-52.5532992417498</v>
      </c>
    </row>
    <row r="27" spans="1:35" ht="15">
      <c r="A27"/>
      <c r="B27"/>
      <c r="C27">
        <f t="shared" si="15"/>
        <v>281.16</v>
      </c>
      <c r="D27">
        <f t="shared" si="15"/>
        <v>8</v>
      </c>
      <c r="E27" s="13">
        <f t="shared" si="6"/>
        <v>-9.838126333760133</v>
      </c>
      <c r="F27" s="13">
        <f t="shared" si="7"/>
        <v>0.048072272015935516</v>
      </c>
      <c r="G27" s="13">
        <f t="shared" si="8"/>
        <v>9.383198007715476</v>
      </c>
      <c r="H27" s="13">
        <f t="shared" si="9"/>
        <v>-2.3050305483323097</v>
      </c>
      <c r="I27" s="13">
        <f t="shared" si="10"/>
        <v>-33.442876473999576</v>
      </c>
      <c r="J27" s="13">
        <f t="shared" si="11"/>
        <v>32.21521539469529</v>
      </c>
      <c r="K27"/>
      <c r="L27" s="2">
        <v>0.99</v>
      </c>
      <c r="M27" s="61">
        <f t="shared" si="0"/>
        <v>-12.777722621437725</v>
      </c>
      <c r="N27" s="4">
        <f t="shared" si="12"/>
        <v>-35.00546047766517</v>
      </c>
      <c r="O27" s="4">
        <f t="shared" si="3"/>
        <v>-35.05432986597164</v>
      </c>
      <c r="AA27" s="2">
        <v>0.99</v>
      </c>
      <c r="AB27" s="61">
        <f t="shared" si="1"/>
        <v>-12.615735496972814</v>
      </c>
      <c r="AC27" s="4">
        <f t="shared" si="13"/>
        <v>-51.04218579969131</v>
      </c>
      <c r="AD27" s="4">
        <f t="shared" si="4"/>
        <v>-51.125257898620376</v>
      </c>
      <c r="AF27" s="2">
        <v>0.99</v>
      </c>
      <c r="AG27" s="61">
        <f t="shared" si="2"/>
        <v>-12.601437313420782</v>
      </c>
      <c r="AH27" s="4">
        <f t="shared" si="14"/>
        <v>-52.457705971342556</v>
      </c>
      <c r="AI27" s="4">
        <f t="shared" si="5"/>
        <v>-52.54373991470907</v>
      </c>
    </row>
    <row r="28" spans="1:35" ht="15">
      <c r="A28" s="14" t="s">
        <v>30</v>
      </c>
      <c r="B28"/>
      <c r="C28">
        <f t="shared" si="15"/>
        <v>282.16</v>
      </c>
      <c r="D28">
        <f t="shared" si="15"/>
        <v>9</v>
      </c>
      <c r="E28" s="13">
        <f t="shared" si="6"/>
        <v>-9.718590870428125</v>
      </c>
      <c r="F28" s="13">
        <f t="shared" si="7"/>
        <v>0.10141763538418051</v>
      </c>
      <c r="G28" s="13">
        <f t="shared" si="8"/>
        <v>9.181735544116165</v>
      </c>
      <c r="H28" s="13">
        <f t="shared" si="9"/>
        <v>-2.531753338302578</v>
      </c>
      <c r="I28" s="13">
        <f t="shared" si="10"/>
        <v>-33.442876473999576</v>
      </c>
      <c r="J28" s="13">
        <f t="shared" si="11"/>
        <v>31.980647996192157</v>
      </c>
      <c r="K28"/>
      <c r="L28" s="2">
        <v>0.989</v>
      </c>
      <c r="M28" s="61">
        <f t="shared" si="0"/>
        <v>-12.755368750307028</v>
      </c>
      <c r="N28" s="4">
        <f t="shared" si="12"/>
        <v>-34.994573267849916</v>
      </c>
      <c r="O28" s="4">
        <f t="shared" si="3"/>
        <v>-35.04889744796057</v>
      </c>
      <c r="AA28" s="2">
        <v>0.989</v>
      </c>
      <c r="AB28" s="61">
        <f t="shared" si="1"/>
        <v>-12.577087503377715</v>
      </c>
      <c r="AC28" s="4">
        <f t="shared" si="13"/>
        <v>-51.023678105403604</v>
      </c>
      <c r="AD28" s="4">
        <f t="shared" si="4"/>
        <v>-51.11602337196431</v>
      </c>
      <c r="AF28" s="2">
        <v>0.989</v>
      </c>
      <c r="AG28" s="61">
        <f t="shared" si="2"/>
        <v>-12.561350938610882</v>
      </c>
      <c r="AH28" s="4">
        <f t="shared" si="14"/>
        <v>-52.43853833762149</v>
      </c>
      <c r="AI28" s="4">
        <f t="shared" si="5"/>
        <v>-52.53417613497384</v>
      </c>
    </row>
    <row r="29" spans="1:35" ht="15">
      <c r="A29" s="14" t="s">
        <v>31</v>
      </c>
      <c r="B29"/>
      <c r="C29">
        <f t="shared" si="15"/>
        <v>283.16</v>
      </c>
      <c r="D29">
        <f t="shared" si="15"/>
        <v>10</v>
      </c>
      <c r="E29" s="13">
        <f t="shared" si="6"/>
        <v>-9.59989970334793</v>
      </c>
      <c r="F29" s="13">
        <f t="shared" si="7"/>
        <v>0.15438621274191378</v>
      </c>
      <c r="G29" s="13">
        <f t="shared" si="8"/>
        <v>8.981163696834882</v>
      </c>
      <c r="H29" s="13">
        <f t="shared" si="9"/>
        <v>-2.756823775008077</v>
      </c>
      <c r="I29" s="13">
        <f t="shared" si="10"/>
        <v>-33.442876473999576</v>
      </c>
      <c r="J29" s="13">
        <f t="shared" si="11"/>
        <v>31.747790122376607</v>
      </c>
      <c r="K29"/>
      <c r="L29" s="2">
        <v>0.988</v>
      </c>
      <c r="M29" s="61">
        <f t="shared" si="0"/>
        <v>-12.732991758309776</v>
      </c>
      <c r="N29" s="4">
        <f t="shared" si="12"/>
        <v>-34.98367856582837</v>
      </c>
      <c r="O29" s="4">
        <f t="shared" si="3"/>
        <v>-35.04346254111622</v>
      </c>
      <c r="AA29" s="2">
        <v>0.988</v>
      </c>
      <c r="AB29" s="61">
        <f t="shared" si="1"/>
        <v>-12.538398897111502</v>
      </c>
      <c r="AC29" s="4">
        <f t="shared" si="13"/>
        <v>-51.00515747115293</v>
      </c>
      <c r="AD29" s="4">
        <f t="shared" si="4"/>
        <v>-51.10678454689669</v>
      </c>
      <c r="AF29" s="2">
        <v>0.988</v>
      </c>
      <c r="AG29" s="61">
        <f t="shared" si="2"/>
        <v>-12.521222381167373</v>
      </c>
      <c r="AH29" s="4">
        <f t="shared" si="14"/>
        <v>-52.41935728388628</v>
      </c>
      <c r="AI29" s="4">
        <f t="shared" si="5"/>
        <v>-52.52460789738321</v>
      </c>
    </row>
    <row r="30" spans="1:35" ht="15">
      <c r="A30" s="14" t="s">
        <v>32</v>
      </c>
      <c r="B30"/>
      <c r="C30">
        <f t="shared" si="15"/>
        <v>284.16</v>
      </c>
      <c r="D30">
        <f t="shared" si="15"/>
        <v>11</v>
      </c>
      <c r="E30" s="13">
        <f t="shared" si="6"/>
        <v>-9.482043918918915</v>
      </c>
      <c r="F30" s="13">
        <f t="shared" si="7"/>
        <v>0.20698198198198375</v>
      </c>
      <c r="G30" s="13">
        <f t="shared" si="8"/>
        <v>8.781478992205605</v>
      </c>
      <c r="H30" s="13">
        <f t="shared" si="9"/>
        <v>-2.980259850695388</v>
      </c>
      <c r="I30" s="13">
        <f t="shared" si="10"/>
        <v>-33.442876473999576</v>
      </c>
      <c r="J30" s="13">
        <f t="shared" si="11"/>
        <v>31.51662315847048</v>
      </c>
      <c r="K30"/>
      <c r="L30" s="2">
        <v>0.987</v>
      </c>
      <c r="M30" s="61">
        <f t="shared" si="0"/>
        <v>-12.710591598093512</v>
      </c>
      <c r="N30" s="4">
        <f t="shared" si="12"/>
        <v>-34.97277636013108</v>
      </c>
      <c r="O30" s="4">
        <f t="shared" si="3"/>
        <v>-35.0380251425789</v>
      </c>
      <c r="AA30" s="2">
        <v>0.987</v>
      </c>
      <c r="AB30" s="61">
        <f t="shared" si="1"/>
        <v>-12.499669594326246</v>
      </c>
      <c r="AC30" s="4">
        <f t="shared" si="13"/>
        <v>-50.9866238769227</v>
      </c>
      <c r="AD30" s="4">
        <f t="shared" si="4"/>
        <v>-51.09754141843716</v>
      </c>
      <c r="AF30" s="2">
        <v>0.987</v>
      </c>
      <c r="AG30" s="61">
        <f t="shared" si="2"/>
        <v>-12.481051553938972</v>
      </c>
      <c r="AH30" s="4">
        <f t="shared" si="14"/>
        <v>-52.4001627894026</v>
      </c>
      <c r="AI30" s="4">
        <f t="shared" si="5"/>
        <v>-52.51503519676932</v>
      </c>
    </row>
    <row r="31" spans="1:35" ht="15">
      <c r="A31"/>
      <c r="B31"/>
      <c r="C31">
        <f t="shared" si="15"/>
        <v>285.16</v>
      </c>
      <c r="D31">
        <f t="shared" si="15"/>
        <v>12</v>
      </c>
      <c r="E31" s="13">
        <f t="shared" si="6"/>
        <v>-9.365014728573428</v>
      </c>
      <c r="F31" s="13">
        <f t="shared" si="7"/>
        <v>0.2592088651984861</v>
      </c>
      <c r="G31" s="13">
        <f t="shared" si="8"/>
        <v>8.582677918640647</v>
      </c>
      <c r="H31" s="13">
        <f t="shared" si="9"/>
        <v>-3.2020792974140067</v>
      </c>
      <c r="I31" s="13">
        <f t="shared" si="10"/>
        <v>-33.442876473999576</v>
      </c>
      <c r="J31" s="13">
        <f t="shared" si="11"/>
        <v>31.28712875889539</v>
      </c>
      <c r="K31"/>
      <c r="L31" s="2">
        <v>0.986</v>
      </c>
      <c r="M31" s="61">
        <f t="shared" si="0"/>
        <v>-12.688168222161123</v>
      </c>
      <c r="N31" s="4">
        <f t="shared" si="12"/>
        <v>-34.961866639223736</v>
      </c>
      <c r="O31" s="4">
        <f t="shared" si="3"/>
        <v>-35.03258524948211</v>
      </c>
      <c r="AA31" s="2">
        <v>0.986</v>
      </c>
      <c r="AB31" s="61">
        <f t="shared" si="1"/>
        <v>-12.460899510915668</v>
      </c>
      <c r="AC31" s="4">
        <f t="shared" si="13"/>
        <v>-50.968077302653626</v>
      </c>
      <c r="AD31" s="4">
        <f t="shared" si="4"/>
        <v>-51.08829398159547</v>
      </c>
      <c r="AF31" s="2">
        <v>0.986</v>
      </c>
      <c r="AG31" s="61">
        <f t="shared" si="2"/>
        <v>-12.440838369506269</v>
      </c>
      <c r="AH31" s="4">
        <f t="shared" si="14"/>
        <v>-52.38095483334421</v>
      </c>
      <c r="AI31" s="4">
        <f t="shared" si="5"/>
        <v>-52.50545802795324</v>
      </c>
    </row>
    <row r="32" spans="1:35" ht="15">
      <c r="A32" s="14" t="s">
        <v>35</v>
      </c>
      <c r="B32"/>
      <c r="C32">
        <f t="shared" si="15"/>
        <v>286.16</v>
      </c>
      <c r="D32">
        <f t="shared" si="15"/>
        <v>13</v>
      </c>
      <c r="E32" s="13">
        <f t="shared" si="6"/>
        <v>-9.248803466592111</v>
      </c>
      <c r="F32" s="13">
        <f t="shared" si="7"/>
        <v>0.3110707296617287</v>
      </c>
      <c r="G32" s="13">
        <f t="shared" si="8"/>
        <v>8.384756928851544</v>
      </c>
      <c r="H32" s="13">
        <f t="shared" si="9"/>
        <v>-3.4222995917029264</v>
      </c>
      <c r="I32" s="13">
        <f t="shared" si="10"/>
        <v>-33.442876473999576</v>
      </c>
      <c r="J32" s="13">
        <f t="shared" si="11"/>
        <v>31.05928884242415</v>
      </c>
      <c r="K32"/>
      <c r="L32" s="2">
        <v>0.985</v>
      </c>
      <c r="M32" s="61">
        <f t="shared" si="0"/>
        <v>-12.665721582869605</v>
      </c>
      <c r="N32" s="4">
        <f t="shared" si="12"/>
        <v>-34.950949391562574</v>
      </c>
      <c r="O32" s="4">
        <f t="shared" si="3"/>
        <v>-35.02714285895414</v>
      </c>
      <c r="AA32" s="2">
        <v>0.985</v>
      </c>
      <c r="AB32" s="61">
        <f t="shared" si="1"/>
        <v>-12.422088562513922</v>
      </c>
      <c r="AC32" s="4">
        <f t="shared" si="13"/>
        <v>-50.94951772825236</v>
      </c>
      <c r="AD32" s="4">
        <f t="shared" si="4"/>
        <v>-51.0790422313726</v>
      </c>
      <c r="AF32" s="2">
        <v>0.985</v>
      </c>
      <c r="AG32" s="61">
        <f t="shared" si="2"/>
        <v>-12.400582740179855</v>
      </c>
      <c r="AH32" s="4">
        <f t="shared" si="14"/>
        <v>-52.361733394856174</v>
      </c>
      <c r="AI32" s="4">
        <f t="shared" si="5"/>
        <v>-52.49587638574677</v>
      </c>
    </row>
    <row r="33" spans="1:35" ht="15">
      <c r="A33" s="14" t="s">
        <v>37</v>
      </c>
      <c r="B33"/>
      <c r="C33">
        <f t="shared" si="15"/>
        <v>287.16</v>
      </c>
      <c r="D33">
        <f t="shared" si="15"/>
        <v>14</v>
      </c>
      <c r="E33" s="13">
        <f t="shared" si="6"/>
        <v>-9.133401587964899</v>
      </c>
      <c r="F33" s="13">
        <f t="shared" si="7"/>
        <v>0.3625713887728116</v>
      </c>
      <c r="G33" s="13">
        <f t="shared" si="8"/>
        <v>8.1877124419929</v>
      </c>
      <c r="H33" s="13">
        <f t="shared" si="9"/>
        <v>-3.640937959173529</v>
      </c>
      <c r="I33" s="13">
        <f t="shared" si="10"/>
        <v>-33.442876473999576</v>
      </c>
      <c r="J33" s="13">
        <f t="shared" si="11"/>
        <v>30.833085587439022</v>
      </c>
      <c r="K33"/>
      <c r="L33" s="2">
        <v>0.984</v>
      </c>
      <c r="M33" s="61">
        <f t="shared" si="0"/>
        <v>-12.643251632429632</v>
      </c>
      <c r="N33" s="4">
        <f t="shared" si="12"/>
        <v>-34.94002460557763</v>
      </c>
      <c r="O33" s="4">
        <f t="shared" si="3"/>
        <v>-35.021697968118104</v>
      </c>
      <c r="AA33" s="2">
        <v>0.984</v>
      </c>
      <c r="AB33" s="61">
        <f t="shared" si="1"/>
        <v>-12.383236664495257</v>
      </c>
      <c r="AC33" s="4">
        <f t="shared" si="13"/>
        <v>-50.93094513354164</v>
      </c>
      <c r="AD33" s="4">
        <f t="shared" si="4"/>
        <v>-51.06978616275816</v>
      </c>
      <c r="AF33" s="2">
        <v>0.984</v>
      </c>
      <c r="AG33" s="61">
        <f t="shared" si="2"/>
        <v>-12.36028457799998</v>
      </c>
      <c r="AH33" s="4">
        <f t="shared" si="14"/>
        <v>-52.34249845300116</v>
      </c>
      <c r="AI33" s="4">
        <f t="shared" si="5"/>
        <v>-52.48629026495016</v>
      </c>
    </row>
    <row r="34" spans="1:35" ht="15">
      <c r="A34" s="14" t="s">
        <v>39</v>
      </c>
      <c r="B34"/>
      <c r="C34">
        <f t="shared" si="15"/>
        <v>288.16</v>
      </c>
      <c r="D34">
        <f t="shared" si="15"/>
        <v>15</v>
      </c>
      <c r="E34" s="13">
        <f t="shared" si="6"/>
        <v>-9.018800666296498</v>
      </c>
      <c r="F34" s="13">
        <f t="shared" si="7"/>
        <v>0.41371460299833607</v>
      </c>
      <c r="G34" s="13">
        <f t="shared" si="8"/>
        <v>7.991540845726286</v>
      </c>
      <c r="H34" s="13">
        <f t="shared" si="9"/>
        <v>-3.858011378997217</v>
      </c>
      <c r="I34" s="13">
        <f t="shared" si="10"/>
        <v>-33.442876473999576</v>
      </c>
      <c r="J34" s="13">
        <f t="shared" si="11"/>
        <v>30.608501427289436</v>
      </c>
      <c r="K34"/>
      <c r="L34" s="2">
        <v>0.983</v>
      </c>
      <c r="M34" s="61">
        <f t="shared" si="0"/>
        <v>-12.620758322905324</v>
      </c>
      <c r="N34" s="4">
        <f t="shared" si="12"/>
        <v>-34.92909226965091</v>
      </c>
      <c r="O34" s="4">
        <f t="shared" si="3"/>
        <v>-35.01625057409063</v>
      </c>
      <c r="AA34" s="2">
        <v>0.983</v>
      </c>
      <c r="AB34" s="61">
        <f t="shared" si="1"/>
        <v>-12.344343731971797</v>
      </c>
      <c r="AC34" s="4">
        <f t="shared" si="13"/>
        <v>-50.9123594983366</v>
      </c>
      <c r="AD34" s="4">
        <f t="shared" si="4"/>
        <v>-51.06052577073336</v>
      </c>
      <c r="AF34" s="2">
        <v>0.983</v>
      </c>
      <c r="AG34" s="61">
        <f t="shared" si="2"/>
        <v>-12.31994379473489</v>
      </c>
      <c r="AH34" s="4">
        <f t="shared" si="14"/>
        <v>-52.32324998680013</v>
      </c>
      <c r="AI34" s="4">
        <f t="shared" si="5"/>
        <v>-52.476699660353106</v>
      </c>
    </row>
    <row r="35" spans="1:35" ht="15">
      <c r="A35"/>
      <c r="B35"/>
      <c r="C35">
        <f t="shared" si="15"/>
        <v>289.16</v>
      </c>
      <c r="D35">
        <f t="shared" si="15"/>
        <v>16</v>
      </c>
      <c r="E35" s="13">
        <f t="shared" si="6"/>
        <v>-8.904992391755426</v>
      </c>
      <c r="F35" s="13">
        <f t="shared" si="7"/>
        <v>0.4645040807857246</v>
      </c>
      <c r="G35" s="13">
        <f t="shared" si="8"/>
        <v>7.796238498212205</v>
      </c>
      <c r="H35" s="13">
        <f t="shared" si="9"/>
        <v>-4.0735365882946795</v>
      </c>
      <c r="I35" s="13">
        <f t="shared" si="10"/>
        <v>-33.442876473999576</v>
      </c>
      <c r="J35" s="13">
        <f t="shared" si="11"/>
        <v>30.385519045750264</v>
      </c>
      <c r="K35"/>
      <c r="L35" s="2">
        <v>0.982</v>
      </c>
      <c r="M35" s="61">
        <f t="shared" si="0"/>
        <v>-12.598241606212923</v>
      </c>
      <c r="N35" s="4">
        <f t="shared" si="12"/>
        <v>-34.9181523721616</v>
      </c>
      <c r="O35" s="4">
        <f t="shared" si="3"/>
        <v>-35.01080067398346</v>
      </c>
      <c r="AA35" s="2">
        <v>0.982</v>
      </c>
      <c r="AB35" s="61">
        <f t="shared" si="1"/>
        <v>-12.305409679793877</v>
      </c>
      <c r="AC35" s="4">
        <f t="shared" si="13"/>
        <v>-50.893760802356184</v>
      </c>
      <c r="AD35" s="4">
        <f t="shared" si="4"/>
        <v>-51.05126105026796</v>
      </c>
      <c r="AF35" s="2">
        <v>0.982</v>
      </c>
      <c r="AG35" s="61">
        <f t="shared" si="2"/>
        <v>-12.279560301879155</v>
      </c>
      <c r="AH35" s="4">
        <f t="shared" si="14"/>
        <v>-52.303987975259396</v>
      </c>
      <c r="AI35" s="4">
        <f t="shared" si="5"/>
        <v>-52.467104566736786</v>
      </c>
    </row>
    <row r="36" spans="1:35" ht="15">
      <c r="A36"/>
      <c r="B36"/>
      <c r="C36">
        <f t="shared" si="15"/>
        <v>290.16</v>
      </c>
      <c r="D36">
        <f t="shared" si="15"/>
        <v>17</v>
      </c>
      <c r="E36" s="13">
        <f t="shared" si="6"/>
        <v>-8.791968569065341</v>
      </c>
      <c r="F36" s="13">
        <f t="shared" si="7"/>
        <v>0.5149434794596095</v>
      </c>
      <c r="G36" s="13">
        <f t="shared" si="8"/>
        <v>7.601801730030555</v>
      </c>
      <c r="H36" s="13">
        <f t="shared" si="9"/>
        <v>-4.287530086432456</v>
      </c>
      <c r="I36" s="13">
        <f t="shared" si="10"/>
        <v>-33.442876473999576</v>
      </c>
      <c r="J36" s="13">
        <f t="shared" si="11"/>
        <v>30.164121372576957</v>
      </c>
      <c r="K36"/>
      <c r="L36" s="2">
        <v>0.981</v>
      </c>
      <c r="M36" s="61">
        <f t="shared" si="0"/>
        <v>-12.575701434121012</v>
      </c>
      <c r="N36" s="4">
        <f t="shared" si="12"/>
        <v>-34.90720490143614</v>
      </c>
      <c r="O36" s="4">
        <f t="shared" si="3"/>
        <v>-35.005348264902025</v>
      </c>
      <c r="AA36" s="2">
        <v>0.981</v>
      </c>
      <c r="AB36" s="61">
        <f t="shared" si="1"/>
        <v>-12.26643442254749</v>
      </c>
      <c r="AC36" s="4">
        <f t="shared" si="13"/>
        <v>-50.87514902531109</v>
      </c>
      <c r="AD36" s="4">
        <f t="shared" si="4"/>
        <v>-51.041991996322864</v>
      </c>
      <c r="AF36" s="2">
        <v>0.981</v>
      </c>
      <c r="AG36" s="61">
        <f t="shared" si="2"/>
        <v>-12.239134010654018</v>
      </c>
      <c r="AH36" s="4">
        <f t="shared" si="14"/>
        <v>-52.284712397284636</v>
      </c>
      <c r="AI36" s="4">
        <f t="shared" si="5"/>
        <v>-52.45750497887089</v>
      </c>
    </row>
    <row r="37" spans="1:35" ht="15">
      <c r="A37"/>
      <c r="B37"/>
      <c r="C37">
        <f aca="true" t="shared" si="16" ref="C37:D41">C36+1</f>
        <v>291.16</v>
      </c>
      <c r="D37">
        <f t="shared" si="16"/>
        <v>18</v>
      </c>
      <c r="E37" s="13">
        <f t="shared" si="6"/>
        <v>-8.679721115537845</v>
      </c>
      <c r="F37" s="13">
        <f t="shared" si="7"/>
        <v>0.5650364060997403</v>
      </c>
      <c r="G37" s="13">
        <f t="shared" si="8"/>
        <v>7.408226846028931</v>
      </c>
      <c r="H37" s="13">
        <f t="shared" si="9"/>
        <v>-4.50000813922935</v>
      </c>
      <c r="I37" s="13">
        <f t="shared" si="10"/>
        <v>-33.442876473999576</v>
      </c>
      <c r="J37" s="13">
        <f t="shared" si="11"/>
        <v>29.944291579153237</v>
      </c>
      <c r="K37"/>
      <c r="L37" s="2">
        <v>0.98</v>
      </c>
      <c r="M37" s="61">
        <f t="shared" si="0"/>
        <v>-12.553137758249289</v>
      </c>
      <c r="N37" s="4">
        <f t="shared" si="12"/>
        <v>-34.89624984578482</v>
      </c>
      <c r="O37" s="4">
        <f t="shared" si="3"/>
        <v>-34.99989334394617</v>
      </c>
      <c r="AA37" s="2">
        <v>0.98</v>
      </c>
      <c r="AB37" s="61">
        <f t="shared" si="1"/>
        <v>-12.22741787455439</v>
      </c>
      <c r="AC37" s="4">
        <f t="shared" si="13"/>
        <v>-50.85652414683479</v>
      </c>
      <c r="AD37" s="4">
        <f t="shared" si="4"/>
        <v>-51.03271860384846</v>
      </c>
      <c r="AF37" s="2">
        <v>0.98</v>
      </c>
      <c r="AG37" s="61">
        <f t="shared" si="2"/>
        <v>-12.198664832005047</v>
      </c>
      <c r="AH37" s="4">
        <f t="shared" si="14"/>
        <v>-52.26542323175267</v>
      </c>
      <c r="AI37" s="4">
        <f t="shared" si="5"/>
        <v>-52.447900891514976</v>
      </c>
    </row>
    <row r="38" spans="1:35" ht="15">
      <c r="A38"/>
      <c r="B38"/>
      <c r="C38">
        <f t="shared" si="16"/>
        <v>292.16</v>
      </c>
      <c r="D38">
        <f t="shared" si="16"/>
        <v>19</v>
      </c>
      <c r="E38" s="13">
        <f t="shared" si="6"/>
        <v>-8.568242059145671</v>
      </c>
      <c r="F38" s="13">
        <f t="shared" si="7"/>
        <v>0.6147864184008773</v>
      </c>
      <c r="G38" s="13">
        <f t="shared" si="8"/>
        <v>7.21551012710786</v>
      </c>
      <c r="H38" s="13">
        <f t="shared" si="9"/>
        <v>-4.710986783072468</v>
      </c>
      <c r="I38" s="13">
        <f t="shared" si="10"/>
        <v>-33.442876473999576</v>
      </c>
      <c r="J38" s="13">
        <f t="shared" si="11"/>
        <v>29.726013074233173</v>
      </c>
      <c r="K38"/>
      <c r="L38" s="2">
        <v>0.979</v>
      </c>
      <c r="M38" s="61">
        <f t="shared" si="0"/>
        <v>-12.530550530067796</v>
      </c>
      <c r="N38" s="4">
        <f t="shared" si="12"/>
        <v>-34.88528719350604</v>
      </c>
      <c r="O38" s="4">
        <f t="shared" si="3"/>
        <v>-34.99443590821092</v>
      </c>
      <c r="AA38" s="2">
        <v>0.979</v>
      </c>
      <c r="AB38" s="61">
        <f t="shared" si="1"/>
        <v>-12.188359949870332</v>
      </c>
      <c r="AC38" s="4">
        <f t="shared" si="13"/>
        <v>-50.83788614652119</v>
      </c>
      <c r="AD38" s="4">
        <f t="shared" si="4"/>
        <v>-51.02344086778526</v>
      </c>
      <c r="AF38" s="2">
        <v>0.979</v>
      </c>
      <c r="AG38" s="61">
        <f t="shared" si="2"/>
        <v>-12.158152676601585</v>
      </c>
      <c r="AH38" s="4">
        <f t="shared" si="14"/>
        <v>-52.246120457478426</v>
      </c>
      <c r="AI38" s="4">
        <f t="shared" si="5"/>
        <v>-52.438292299417995</v>
      </c>
    </row>
    <row r="39" spans="1:35" ht="15">
      <c r="A39"/>
      <c r="B39"/>
      <c r="C39">
        <f t="shared" si="16"/>
        <v>293.16</v>
      </c>
      <c r="D39">
        <f t="shared" si="16"/>
        <v>20</v>
      </c>
      <c r="E39" s="13">
        <f t="shared" si="6"/>
        <v>-8.457523536635279</v>
      </c>
      <c r="F39" s="13">
        <f t="shared" si="7"/>
        <v>0.664197025515078</v>
      </c>
      <c r="G39" s="13">
        <f t="shared" si="8"/>
        <v>7.023647831939428</v>
      </c>
      <c r="H39" s="13">
        <f t="shared" si="9"/>
        <v>-4.920481828946999</v>
      </c>
      <c r="I39" s="13">
        <f t="shared" si="10"/>
        <v>-33.442876473999576</v>
      </c>
      <c r="J39" s="13">
        <f t="shared" si="11"/>
        <v>29.509269499771396</v>
      </c>
      <c r="K39"/>
      <c r="L39" s="2">
        <v>0.978</v>
      </c>
      <c r="M39" s="61">
        <f t="shared" si="0"/>
        <v>-12.507939700897586</v>
      </c>
      <c r="N39" s="4">
        <f t="shared" si="12"/>
        <v>-34.87431693282546</v>
      </c>
      <c r="O39" s="4">
        <f t="shared" si="3"/>
        <v>-34.9889759547843</v>
      </c>
      <c r="AA39" s="2">
        <v>0.978</v>
      </c>
      <c r="AB39" s="61">
        <f t="shared" si="1"/>
        <v>-12.149260562284049</v>
      </c>
      <c r="AC39" s="4">
        <f t="shared" si="13"/>
        <v>-50.819235003918145</v>
      </c>
      <c r="AD39" s="4">
        <f t="shared" si="4"/>
        <v>-51.014158783064026</v>
      </c>
      <c r="AF39" s="2">
        <v>0.978</v>
      </c>
      <c r="AG39" s="61">
        <f t="shared" si="2"/>
        <v>-12.117597454834872</v>
      </c>
      <c r="AH39" s="4">
        <f t="shared" si="14"/>
        <v>-52.22680405324974</v>
      </c>
      <c r="AI39" s="4">
        <f t="shared" si="5"/>
        <v>-52.42867919731944</v>
      </c>
    </row>
    <row r="40" spans="1:35" ht="15">
      <c r="A40"/>
      <c r="B40"/>
      <c r="C40">
        <f t="shared" si="16"/>
        <v>294.16</v>
      </c>
      <c r="D40">
        <f t="shared" si="16"/>
        <v>21</v>
      </c>
      <c r="E40" s="13">
        <f t="shared" si="6"/>
        <v>-8.347557791677993</v>
      </c>
      <c r="F40" s="13">
        <f t="shared" si="7"/>
        <v>0.7132716888768025</v>
      </c>
      <c r="G40" s="13">
        <f t="shared" si="8"/>
        <v>6.832636198624176</v>
      </c>
      <c r="H40" s="13">
        <f t="shared" si="9"/>
        <v>-5.128508866381387</v>
      </c>
      <c r="I40" s="13">
        <f t="shared" si="10"/>
        <v>-33.442876473999576</v>
      </c>
      <c r="J40" s="13">
        <f t="shared" si="11"/>
        <v>29.29404472684172</v>
      </c>
      <c r="K40"/>
      <c r="L40" s="2">
        <v>0.977</v>
      </c>
      <c r="M40" s="61">
        <f t="shared" si="0"/>
        <v>-12.485305221908384</v>
      </c>
      <c r="N40" s="4">
        <f t="shared" si="12"/>
        <v>-34.863339051978606</v>
      </c>
      <c r="O40" s="4">
        <f t="shared" si="3"/>
        <v>-34.98351348074927</v>
      </c>
      <c r="AA40" s="2">
        <v>0.977</v>
      </c>
      <c r="AB40" s="61">
        <f t="shared" si="1"/>
        <v>-12.110119625316385</v>
      </c>
      <c r="AC40" s="4">
        <f t="shared" si="13"/>
        <v>-50.80057069851704</v>
      </c>
      <c r="AD40" s="4">
        <f t="shared" si="4"/>
        <v>-51.00487234460547</v>
      </c>
      <c r="AF40" s="2">
        <v>0.977</v>
      </c>
      <c r="AG40" s="61">
        <f t="shared" si="2"/>
        <v>-12.076999076818474</v>
      </c>
      <c r="AH40" s="4">
        <f t="shared" si="14"/>
        <v>-52.20747399775431</v>
      </c>
      <c r="AI40" s="4">
        <f t="shared" si="5"/>
        <v>-52.41906157994704</v>
      </c>
    </row>
    <row r="41" spans="1:35" ht="15">
      <c r="A41"/>
      <c r="B41"/>
      <c r="C41">
        <f t="shared" si="16"/>
        <v>295.16</v>
      </c>
      <c r="D41">
        <f t="shared" si="16"/>
        <v>22</v>
      </c>
      <c r="E41" s="13">
        <f t="shared" si="6"/>
        <v>-8.238337173058676</v>
      </c>
      <c r="F41" s="13">
        <f t="shared" si="7"/>
        <v>0.7620138230112501</v>
      </c>
      <c r="G41" s="13">
        <f t="shared" si="8"/>
        <v>6.642471446286491</v>
      </c>
      <c r="H41" s="13">
        <f t="shared" si="9"/>
        <v>-5.335083267310914</v>
      </c>
      <c r="I41" s="13">
        <f t="shared" si="10"/>
        <v>-33.442876473999576</v>
      </c>
      <c r="J41" s="13">
        <f t="shared" si="11"/>
        <v>29.080322851640084</v>
      </c>
      <c r="K41"/>
      <c r="L41" s="2">
        <v>0.976</v>
      </c>
      <c r="M41" s="61">
        <f t="shared" si="0"/>
        <v>-12.462647044118924</v>
      </c>
      <c r="N41" s="4">
        <f t="shared" si="12"/>
        <v>-34.85235353916372</v>
      </c>
      <c r="O41" s="4">
        <f t="shared" si="3"/>
        <v>-34.9780484831832</v>
      </c>
      <c r="AA41" s="2">
        <v>0.976</v>
      </c>
      <c r="AB41" s="61">
        <f t="shared" si="1"/>
        <v>-12.07093705221929</v>
      </c>
      <c r="AC41" s="4">
        <f t="shared" si="13"/>
        <v>-50.7818932097489</v>
      </c>
      <c r="AD41" s="4">
        <f t="shared" si="4"/>
        <v>-50.99558154731977</v>
      </c>
      <c r="AF41" s="2">
        <v>0.976</v>
      </c>
      <c r="AG41" s="61">
        <f t="shared" si="2"/>
        <v>-12.036357452385182</v>
      </c>
      <c r="AH41" s="4">
        <f t="shared" si="14"/>
        <v>-52.1881302696692</v>
      </c>
      <c r="AI41" s="4">
        <f t="shared" si="5"/>
        <v>-52.409439442018794</v>
      </c>
    </row>
    <row r="42" spans="1:35" ht="15">
      <c r="A42"/>
      <c r="B42"/>
      <c r="C42">
        <f>C41+1</f>
        <v>296.16</v>
      </c>
      <c r="D42">
        <f>D41+1</f>
        <v>23</v>
      </c>
      <c r="E42" s="13">
        <f t="shared" si="6"/>
        <v>-8.129854132901134</v>
      </c>
      <c r="F42" s="13">
        <f t="shared" si="7"/>
        <v>0.8104267963263116</v>
      </c>
      <c r="G42" s="13">
        <f t="shared" si="8"/>
        <v>6.453149776613598</v>
      </c>
      <c r="H42" s="13">
        <f t="shared" si="9"/>
        <v>-5.540220189858669</v>
      </c>
      <c r="I42" s="13">
        <f t="shared" si="10"/>
        <v>-33.442876473999576</v>
      </c>
      <c r="J42" s="13">
        <f t="shared" si="11"/>
        <v>28.868088191572163</v>
      </c>
      <c r="K42"/>
      <c r="L42" s="2">
        <v>0.975</v>
      </c>
      <c r="M42" s="61">
        <f t="shared" si="0"/>
        <v>-12.439965118396623</v>
      </c>
      <c r="N42" s="4">
        <f t="shared" si="12"/>
        <v>-34.84136038253166</v>
      </c>
      <c r="O42" s="4">
        <f t="shared" si="3"/>
        <v>-34.97258095915714</v>
      </c>
      <c r="AA42" s="2">
        <v>0.975</v>
      </c>
      <c r="AB42" s="61">
        <f t="shared" si="1"/>
        <v>-12.031712755974144</v>
      </c>
      <c r="AC42" s="4">
        <f t="shared" si="13"/>
        <v>-50.76320251700831</v>
      </c>
      <c r="AD42" s="4">
        <f t="shared" si="4"/>
        <v>-50.98628638610732</v>
      </c>
      <c r="AF42" s="2">
        <v>0.975</v>
      </c>
      <c r="AG42" s="61">
        <f t="shared" si="2"/>
        <v>-11.995672491087351</v>
      </c>
      <c r="AH42" s="4">
        <f t="shared" si="14"/>
        <v>-52.168772847593296</v>
      </c>
      <c r="AI42" s="4">
        <f t="shared" si="5"/>
        <v>-52.39981277824177</v>
      </c>
    </row>
    <row r="43" spans="1:35" ht="15">
      <c r="A43"/>
      <c r="B43"/>
      <c r="C43">
        <f aca="true" t="shared" si="17" ref="C43:D49">C42+1</f>
        <v>297.16</v>
      </c>
      <c r="D43">
        <f t="shared" si="17"/>
        <v>24</v>
      </c>
      <c r="E43" s="13">
        <f t="shared" si="6"/>
        <v>-8.02210122492933</v>
      </c>
      <c r="F43" s="13">
        <f t="shared" si="7"/>
        <v>0.8585139318885455</v>
      </c>
      <c r="G43" s="13">
        <f t="shared" si="8"/>
        <v>6.264667375338595</v>
      </c>
      <c r="H43" s="13">
        <f t="shared" si="9"/>
        <v>-5.743934582039478</v>
      </c>
      <c r="I43" s="13">
        <f t="shared" si="10"/>
        <v>-33.442876473999576</v>
      </c>
      <c r="J43" s="13">
        <f t="shared" si="11"/>
        <v>28.657325281421954</v>
      </c>
      <c r="K43"/>
      <c r="L43" s="2">
        <v>0.974</v>
      </c>
      <c r="M43" s="61">
        <f t="shared" si="0"/>
        <v>-12.417259395456126</v>
      </c>
      <c r="N43" s="4">
        <f t="shared" si="12"/>
        <v>-34.830359570220494</v>
      </c>
      <c r="O43" s="4">
        <f t="shared" si="3"/>
        <v>-34.9671109057365</v>
      </c>
      <c r="AA43" s="2">
        <v>0.974</v>
      </c>
      <c r="AB43" s="61">
        <f t="shared" si="1"/>
        <v>-11.99244664929111</v>
      </c>
      <c r="AC43" s="4">
        <f t="shared" si="13"/>
        <v>-50.744498599632955</v>
      </c>
      <c r="AD43" s="4">
        <f t="shared" si="4"/>
        <v>-50.97698685585831</v>
      </c>
      <c r="AF43" s="2">
        <v>0.974</v>
      </c>
      <c r="AG43" s="61">
        <f t="shared" si="2"/>
        <v>-11.954944102194553</v>
      </c>
      <c r="AH43" s="4">
        <f t="shared" si="14"/>
        <v>-52.14940171009632</v>
      </c>
      <c r="AI43" s="4">
        <f t="shared" si="5"/>
        <v>-52.390181583313094</v>
      </c>
    </row>
    <row r="44" spans="1:35" ht="15">
      <c r="A44"/>
      <c r="B44"/>
      <c r="C44">
        <f t="shared" si="17"/>
        <v>298.16</v>
      </c>
      <c r="D44">
        <f t="shared" si="17"/>
        <v>25</v>
      </c>
      <c r="E44" s="13">
        <f t="shared" si="6"/>
        <v>-7.915071102763613</v>
      </c>
      <c r="F44" s="13">
        <f t="shared" si="7"/>
        <v>0.9062785081835265</v>
      </c>
      <c r="G44" s="13">
        <f t="shared" si="8"/>
        <v>6.077020413666423</v>
      </c>
      <c r="H44" s="13">
        <f t="shared" si="9"/>
        <v>-5.946241185387446</v>
      </c>
      <c r="I44" s="13">
        <f t="shared" si="10"/>
        <v>-33.442876473999576</v>
      </c>
      <c r="J44" s="13">
        <f t="shared" si="11"/>
        <v>28.448018869598137</v>
      </c>
      <c r="K44"/>
      <c r="L44" s="2">
        <v>0.973</v>
      </c>
      <c r="M44" s="61">
        <f t="shared" si="0"/>
        <v>-12.39452982585898</v>
      </c>
      <c r="N44" s="4">
        <f t="shared" si="12"/>
        <v>-34.81935109034117</v>
      </c>
      <c r="O44" s="4">
        <f t="shared" si="3"/>
        <v>-34.96163831998111</v>
      </c>
      <c r="AA44" s="2">
        <v>0.973</v>
      </c>
      <c r="AB44" s="61">
        <f t="shared" si="1"/>
        <v>-11.953138644607897</v>
      </c>
      <c r="AC44" s="4">
        <f t="shared" si="13"/>
        <v>-50.725781436908</v>
      </c>
      <c r="AD44" s="4">
        <f t="shared" si="4"/>
        <v>-50.96768295145274</v>
      </c>
      <c r="AF44" s="2">
        <v>0.973</v>
      </c>
      <c r="AG44" s="61">
        <f t="shared" si="2"/>
        <v>-11.914172194693595</v>
      </c>
      <c r="AH44" s="4">
        <f t="shared" si="14"/>
        <v>-52.13001683567152</v>
      </c>
      <c r="AI44" s="4">
        <f t="shared" si="5"/>
        <v>-52.38054585191896</v>
      </c>
    </row>
    <row r="45" spans="1:35" ht="15">
      <c r="A45"/>
      <c r="B45"/>
      <c r="C45">
        <f t="shared" si="17"/>
        <v>299.16</v>
      </c>
      <c r="D45">
        <f t="shared" si="17"/>
        <v>26</v>
      </c>
      <c r="E45" s="13">
        <f t="shared" si="6"/>
        <v>-7.808756518251101</v>
      </c>
      <c r="F45" s="13">
        <f t="shared" si="7"/>
        <v>0.953723759860945</v>
      </c>
      <c r="G45" s="13">
        <f t="shared" si="8"/>
        <v>5.890205049651209</v>
      </c>
      <c r="H45" s="13">
        <f t="shared" si="9"/>
        <v>-6.147154538507005</v>
      </c>
      <c r="I45" s="13">
        <f t="shared" si="10"/>
        <v>-33.442876473999576</v>
      </c>
      <c r="J45" s="13">
        <f t="shared" si="11"/>
        <v>28.240153914460553</v>
      </c>
      <c r="K45"/>
      <c r="L45" s="2">
        <v>0.972</v>
      </c>
      <c r="M45" s="61">
        <f t="shared" si="0"/>
        <v>-12.371776360013186</v>
      </c>
      <c r="N45" s="4">
        <f t="shared" si="12"/>
        <v>-34.808334930970815</v>
      </c>
      <c r="O45" s="4">
        <f t="shared" si="3"/>
        <v>-34.95616319894503</v>
      </c>
      <c r="AA45" s="2">
        <v>0.972</v>
      </c>
      <c r="AB45" s="61">
        <f t="shared" si="1"/>
        <v>-11.913788654088432</v>
      </c>
      <c r="AC45" s="4">
        <f t="shared" si="13"/>
        <v>-50.70705100807295</v>
      </c>
      <c r="AD45" s="4">
        <f t="shared" si="4"/>
        <v>-50.9583746677606</v>
      </c>
      <c r="AF45" s="2">
        <v>0.972</v>
      </c>
      <c r="AG45" s="61">
        <f t="shared" si="2"/>
        <v>-11.873356677286505</v>
      </c>
      <c r="AH45" s="4">
        <f t="shared" si="14"/>
        <v>-52.11061820276843</v>
      </c>
      <c r="AI45" s="4">
        <f t="shared" si="5"/>
        <v>-52.37090557873501</v>
      </c>
    </row>
    <row r="46" spans="1:35" ht="15">
      <c r="A46"/>
      <c r="B46"/>
      <c r="C46">
        <f t="shared" si="17"/>
        <v>300.16</v>
      </c>
      <c r="D46">
        <f t="shared" si="17"/>
        <v>27</v>
      </c>
      <c r="E46" s="13">
        <f t="shared" si="6"/>
        <v>-7.703150319829419</v>
      </c>
      <c r="F46" s="13">
        <f t="shared" si="7"/>
        <v>1.00085287846482</v>
      </c>
      <c r="G46" s="13">
        <f t="shared" si="8"/>
        <v>5.7042174295196535</v>
      </c>
      <c r="H46" s="13">
        <f t="shared" si="9"/>
        <v>-6.346688980552462</v>
      </c>
      <c r="I46" s="13">
        <f t="shared" si="10"/>
        <v>-33.442876473999576</v>
      </c>
      <c r="J46" s="13">
        <f t="shared" si="11"/>
        <v>28.033715580720433</v>
      </c>
      <c r="K46"/>
      <c r="L46" s="2">
        <v>0.971</v>
      </c>
      <c r="M46" s="61">
        <f t="shared" si="0"/>
        <v>-12.348998948172873</v>
      </c>
      <c r="N46" s="4">
        <f t="shared" si="12"/>
        <v>-34.79731108014274</v>
      </c>
      <c r="O46" s="4">
        <f t="shared" si="3"/>
        <v>-34.95068553967598</v>
      </c>
      <c r="AA46" s="2">
        <v>0.971</v>
      </c>
      <c r="AB46" s="61">
        <f t="shared" si="1"/>
        <v>-11.874396589622304</v>
      </c>
      <c r="AC46" s="4">
        <f t="shared" si="13"/>
        <v>-50.68830729230145</v>
      </c>
      <c r="AD46" s="4">
        <f t="shared" si="4"/>
        <v>-50.949061999641316</v>
      </c>
      <c r="AF46" s="2">
        <v>0.971</v>
      </c>
      <c r="AG46" s="61">
        <f t="shared" si="2"/>
        <v>-11.832497458389435</v>
      </c>
      <c r="AH46" s="4">
        <f t="shared" si="14"/>
        <v>-52.091205789788205</v>
      </c>
      <c r="AI46" s="4">
        <f t="shared" si="5"/>
        <v>-52.3612607584265</v>
      </c>
    </row>
    <row r="47" spans="1:35" ht="15">
      <c r="A47"/>
      <c r="B47"/>
      <c r="C47">
        <f t="shared" si="17"/>
        <v>301.16</v>
      </c>
      <c r="D47">
        <f t="shared" si="17"/>
        <v>28</v>
      </c>
      <c r="E47" s="13">
        <f t="shared" si="6"/>
        <v>-7.598245450923094</v>
      </c>
      <c r="F47" s="13">
        <f t="shared" si="7"/>
        <v>1.0476690131491582</v>
      </c>
      <c r="G47" s="13">
        <f t="shared" si="8"/>
        <v>5.519053688948228</v>
      </c>
      <c r="H47" s="13">
        <f t="shared" si="9"/>
        <v>-6.544858654635277</v>
      </c>
      <c r="I47" s="13">
        <f t="shared" si="10"/>
        <v>-33.442876473999576</v>
      </c>
      <c r="J47" s="13">
        <f t="shared" si="11"/>
        <v>27.828689235914304</v>
      </c>
      <c r="K47"/>
      <c r="L47" s="2">
        <v>0.97</v>
      </c>
      <c r="M47" s="61">
        <f t="shared" si="0"/>
        <v>-12.3261975404364</v>
      </c>
      <c r="N47" s="4">
        <f t="shared" si="12"/>
        <v>-34.786279525889704</v>
      </c>
      <c r="O47" s="4">
        <f t="shared" si="3"/>
        <v>-34.94520533921644</v>
      </c>
      <c r="AA47" s="2">
        <v>0.97</v>
      </c>
      <c r="AB47" s="61">
        <f t="shared" si="1"/>
        <v>-11.83496236282311</v>
      </c>
      <c r="AC47" s="4">
        <f t="shared" si="13"/>
        <v>-50.66955026871945</v>
      </c>
      <c r="AD47" s="4">
        <f t="shared" si="4"/>
        <v>-50.93974494194392</v>
      </c>
      <c r="AF47" s="2">
        <v>0.97</v>
      </c>
      <c r="AG47" s="61">
        <f t="shared" si="2"/>
        <v>-11.791594446131981</v>
      </c>
      <c r="AH47" s="4">
        <f t="shared" si="14"/>
        <v>-52.0717795750659</v>
      </c>
      <c r="AI47" s="4">
        <f t="shared" si="5"/>
        <v>-52.351611385647814</v>
      </c>
    </row>
    <row r="48" spans="1:35" ht="15">
      <c r="A48"/>
      <c r="B48"/>
      <c r="C48">
        <f t="shared" si="17"/>
        <v>302.16</v>
      </c>
      <c r="D48">
        <f t="shared" si="17"/>
        <v>29</v>
      </c>
      <c r="E48" s="13">
        <f t="shared" si="6"/>
        <v>-7.494034948371718</v>
      </c>
      <c r="F48" s="13">
        <f t="shared" si="7"/>
        <v>1.0941752713794026</v>
      </c>
      <c r="G48" s="13">
        <f t="shared" si="8"/>
        <v>5.334709954291306</v>
      </c>
      <c r="H48" s="13">
        <f t="shared" si="9"/>
        <v>-6.741677511162281</v>
      </c>
      <c r="I48" s="13">
        <f t="shared" si="10"/>
        <v>-33.442876473999576</v>
      </c>
      <c r="J48" s="13">
        <f t="shared" si="11"/>
        <v>27.625060446951455</v>
      </c>
      <c r="K48"/>
      <c r="L48" s="2">
        <v>0.969</v>
      </c>
      <c r="M48" s="61">
        <f t="shared" si="0"/>
        <v>-12.303372086747588</v>
      </c>
      <c r="N48" s="4">
        <f t="shared" si="12"/>
        <v>-34.77524025618023</v>
      </c>
      <c r="O48" s="4">
        <f t="shared" si="3"/>
        <v>-34.93972259460237</v>
      </c>
      <c r="AA48" s="2">
        <v>0.969</v>
      </c>
      <c r="AB48" s="61">
        <f t="shared" si="1"/>
        <v>-11.795485885026658</v>
      </c>
      <c r="AC48" s="4">
        <f t="shared" si="13"/>
        <v>-50.65077991642479</v>
      </c>
      <c r="AD48" s="4">
        <f t="shared" si="4"/>
        <v>-50.930423489507824</v>
      </c>
      <c r="AF48" s="2">
        <v>0.969</v>
      </c>
      <c r="AG48" s="61">
        <f t="shared" si="2"/>
        <v>-11.750647548355865</v>
      </c>
      <c r="AH48" s="4">
        <f t="shared" si="14"/>
        <v>-52.052339536876325</v>
      </c>
      <c r="AI48" s="4">
        <f t="shared" si="5"/>
        <v>-52.341957455042284</v>
      </c>
    </row>
    <row r="49" spans="3:35" ht="15">
      <c r="C49">
        <f t="shared" si="17"/>
        <v>303.16</v>
      </c>
      <c r="D49">
        <f t="shared" si="17"/>
        <v>30</v>
      </c>
      <c r="E49" s="13">
        <f t="shared" si="6"/>
        <v>-7.390511940889299</v>
      </c>
      <c r="F49" s="13">
        <f t="shared" si="7"/>
        <v>1.1403747196200038</v>
      </c>
      <c r="G49" s="13">
        <f t="shared" si="8"/>
        <v>5.1511823437635496</v>
      </c>
      <c r="H49" s="13">
        <f t="shared" si="9"/>
        <v>-6.937159311106167</v>
      </c>
      <c r="I49" s="13">
        <f t="shared" si="10"/>
        <v>-33.442876473999576</v>
      </c>
      <c r="J49" s="13">
        <f t="shared" si="11"/>
        <v>27.42281497672949</v>
      </c>
      <c r="L49" s="2">
        <v>0.968</v>
      </c>
      <c r="M49" s="61">
        <f aca="true" t="shared" si="18" ref="M49:M80">-1000*(1-10^((LOG(1+L$14/1000)+(L$13-1)*LOG(L49))))</f>
        <v>-12.280522536892935</v>
      </c>
      <c r="N49" s="4">
        <f t="shared" si="12"/>
        <v>-34.76419325898869</v>
      </c>
      <c r="O49" s="4">
        <f t="shared" si="3"/>
        <v>-34.934237302864446</v>
      </c>
      <c r="AA49" s="2">
        <v>0.968</v>
      </c>
      <c r="AB49" s="61">
        <f t="shared" si="1"/>
        <v>-11.75596706729154</v>
      </c>
      <c r="AC49" s="4">
        <f t="shared" si="13"/>
        <v>-50.631996214430885</v>
      </c>
      <c r="AD49" s="4">
        <f t="shared" si="4"/>
        <v>-50.921097637161665</v>
      </c>
      <c r="AF49" s="2">
        <v>0.968</v>
      </c>
      <c r="AG49" s="61">
        <f t="shared" si="2"/>
        <v>-11.709656672612589</v>
      </c>
      <c r="AH49" s="4">
        <f t="shared" si="14"/>
        <v>-52.03288565346915</v>
      </c>
      <c r="AI49" s="4">
        <f t="shared" si="5"/>
        <v>-52.33229896124312</v>
      </c>
    </row>
    <row r="50" spans="12:35" ht="12.75">
      <c r="L50" s="2">
        <v>0.967</v>
      </c>
      <c r="M50" s="61">
        <f t="shared" si="18"/>
        <v>-12.257648840502956</v>
      </c>
      <c r="N50" s="4">
        <f t="shared" si="12"/>
        <v>-34.75313852223154</v>
      </c>
      <c r="O50" s="4">
        <f t="shared" si="3"/>
        <v>-34.92874946102708</v>
      </c>
      <c r="AA50" s="2">
        <v>0.967</v>
      </c>
      <c r="AB50" s="61">
        <f t="shared" si="1"/>
        <v>-11.71640582039657</v>
      </c>
      <c r="AC50" s="4">
        <f t="shared" si="13"/>
        <v>-50.613199141712606</v>
      </c>
      <c r="AD50" s="4">
        <f t="shared" si="4"/>
        <v>-50.91176737972382</v>
      </c>
      <c r="AF50" s="2">
        <v>0.967</v>
      </c>
      <c r="AG50" s="61">
        <f t="shared" si="2"/>
        <v>-11.668621726163785</v>
      </c>
      <c r="AH50" s="4">
        <f t="shared" si="14"/>
        <v>-52.01341790301875</v>
      </c>
      <c r="AI50" s="4">
        <f t="shared" si="5"/>
        <v>-52.32263589887268</v>
      </c>
    </row>
    <row r="51" spans="12:35" ht="12.75">
      <c r="L51" s="2">
        <v>0.966</v>
      </c>
      <c r="M51" s="61">
        <f t="shared" si="18"/>
        <v>-12.234750947050399</v>
      </c>
      <c r="N51" s="4">
        <f t="shared" si="12"/>
        <v>-34.74207603380335</v>
      </c>
      <c r="O51" s="4">
        <f t="shared" si="3"/>
        <v>-34.923259066108734</v>
      </c>
      <c r="AA51" s="2">
        <v>0.966</v>
      </c>
      <c r="AB51" s="61">
        <f t="shared" si="1"/>
        <v>-11.676802054840119</v>
      </c>
      <c r="AC51" s="4">
        <f t="shared" si="13"/>
        <v>-50.594388677189514</v>
      </c>
      <c r="AD51" s="4">
        <f t="shared" si="4"/>
        <v>-50.902432712002216</v>
      </c>
      <c r="AF51" s="2">
        <v>0.966</v>
      </c>
      <c r="AG51" s="61">
        <f t="shared" si="2"/>
        <v>-11.627542615979536</v>
      </c>
      <c r="AH51" s="4">
        <f t="shared" si="14"/>
        <v>-51.9939362636402</v>
      </c>
      <c r="AI51" s="4">
        <f t="shared" si="5"/>
        <v>-52.31296826254232</v>
      </c>
    </row>
    <row r="52" spans="12:35" ht="12.75">
      <c r="L52" s="2">
        <v>0.965</v>
      </c>
      <c r="M52" s="61">
        <f t="shared" si="18"/>
        <v>-12.211828805849589</v>
      </c>
      <c r="N52" s="4">
        <f t="shared" si="12"/>
        <v>-34.73100578157559</v>
      </c>
      <c r="O52" s="4">
        <f t="shared" si="3"/>
        <v>-34.91776611512208</v>
      </c>
      <c r="AA52" s="2">
        <v>0.965</v>
      </c>
      <c r="AB52" s="61">
        <f t="shared" si="1"/>
        <v>-11.637155680838674</v>
      </c>
      <c r="AC52" s="4">
        <f t="shared" si="13"/>
        <v>-50.57556479973365</v>
      </c>
      <c r="AD52" s="4">
        <f t="shared" si="4"/>
        <v>-50.89309362879454</v>
      </c>
      <c r="AF52" s="2">
        <v>0.965</v>
      </c>
      <c r="AG52" s="61">
        <f t="shared" si="2"/>
        <v>-11.58641924873638</v>
      </c>
      <c r="AH52" s="4">
        <f t="shared" si="14"/>
        <v>-51.9744407134112</v>
      </c>
      <c r="AI52" s="4">
        <f t="shared" si="5"/>
        <v>-52.30329604685286</v>
      </c>
    </row>
    <row r="53" spans="12:35" ht="12.75">
      <c r="L53" s="79">
        <v>0.964</v>
      </c>
      <c r="M53" s="71">
        <f t="shared" si="18"/>
        <v>-12.188882366056308</v>
      </c>
      <c r="N53" s="72">
        <f t="shared" si="12"/>
        <v>-34.71992775338104</v>
      </c>
      <c r="O53" s="72">
        <f t="shared" si="3"/>
        <v>-34.912270605073715</v>
      </c>
      <c r="AA53" s="79">
        <v>0.964</v>
      </c>
      <c r="AB53" s="71">
        <f t="shared" si="1"/>
        <v>-11.597466608326389</v>
      </c>
      <c r="AC53" s="72">
        <f t="shared" si="13"/>
        <v>-50.55672748814886</v>
      </c>
      <c r="AD53" s="72">
        <f t="shared" si="4"/>
        <v>-50.88375012488771</v>
      </c>
      <c r="AE53" s="79"/>
      <c r="AF53" s="79">
        <v>0.964</v>
      </c>
      <c r="AG53" s="71">
        <f t="shared" si="2"/>
        <v>-11.545251530817424</v>
      </c>
      <c r="AH53" s="72">
        <f t="shared" si="14"/>
        <v>-51.95493123033337</v>
      </c>
      <c r="AI53" s="72">
        <f t="shared" si="5"/>
        <v>-52.29361924639398</v>
      </c>
    </row>
    <row r="54" spans="12:35" ht="12.75">
      <c r="L54" s="2">
        <v>0.963</v>
      </c>
      <c r="M54" s="61">
        <f t="shared" si="18"/>
        <v>-12.165911576666355</v>
      </c>
      <c r="N54" s="4">
        <f t="shared" si="12"/>
        <v>-34.708841937035125</v>
      </c>
      <c r="O54" s="4">
        <f t="shared" si="3"/>
        <v>-34.90677253296457</v>
      </c>
      <c r="AA54" s="2">
        <v>0.963</v>
      </c>
      <c r="AB54" s="61">
        <f t="shared" si="1"/>
        <v>-11.55773474695232</v>
      </c>
      <c r="AC54" s="4">
        <f t="shared" si="13"/>
        <v>-50.53787672121391</v>
      </c>
      <c r="AD54" s="4">
        <f t="shared" si="4"/>
        <v>-50.87440219505869</v>
      </c>
      <c r="AF54" s="2">
        <v>0.963</v>
      </c>
      <c r="AG54" s="61">
        <f t="shared" si="2"/>
        <v>-11.50403936830957</v>
      </c>
      <c r="AH54" s="4">
        <f t="shared" si="14"/>
        <v>-51.935407792375194</v>
      </c>
      <c r="AI54" s="4">
        <f t="shared" si="5"/>
        <v>-52.283937855744824</v>
      </c>
    </row>
    <row r="55" spans="12:35" ht="12.75">
      <c r="L55" s="2">
        <v>0.962</v>
      </c>
      <c r="M55" s="61">
        <f t="shared" si="18"/>
        <v>-12.142916386516323</v>
      </c>
      <c r="N55" s="4">
        <f t="shared" si="12"/>
        <v>-34.6977483202973</v>
      </c>
      <c r="O55" s="4">
        <f t="shared" si="3"/>
        <v>-34.90127189578911</v>
      </c>
      <c r="AA55" s="2">
        <v>0.962</v>
      </c>
      <c r="AB55" s="61">
        <f t="shared" si="1"/>
        <v>-11.517960006081406</v>
      </c>
      <c r="AC55" s="4">
        <f t="shared" si="13"/>
        <v>-50.519012477623335</v>
      </c>
      <c r="AD55" s="4">
        <f t="shared" si="4"/>
        <v>-50.86504983407355</v>
      </c>
      <c r="AF55" s="2">
        <v>0.962</v>
      </c>
      <c r="AG55" s="61">
        <f t="shared" si="2"/>
        <v>-11.462782667003957</v>
      </c>
      <c r="AH55" s="4">
        <f t="shared" si="14"/>
        <v>-51.9158703774261</v>
      </c>
      <c r="AI55" s="4">
        <f t="shared" si="5"/>
        <v>-52.274251869473275</v>
      </c>
    </row>
    <row r="56" spans="12:35" ht="12.75">
      <c r="L56" s="85">
        <v>0.961</v>
      </c>
      <c r="M56" s="86">
        <f t="shared" si="18"/>
        <v>-12.119896744281045</v>
      </c>
      <c r="N56" s="87">
        <f t="shared" si="12"/>
        <v>-34.686646890920905</v>
      </c>
      <c r="O56" s="87">
        <f t="shared" si="3"/>
        <v>-34.89576869053608</v>
      </c>
      <c r="AA56" s="2">
        <v>0.961</v>
      </c>
      <c r="AB56" s="61">
        <f t="shared" si="1"/>
        <v>-11.478142294791716</v>
      </c>
      <c r="AC56" s="4">
        <f t="shared" si="13"/>
        <v>-50.50013473602974</v>
      </c>
      <c r="AD56" s="4">
        <f t="shared" si="4"/>
        <v>-50.85569303668781</v>
      </c>
      <c r="AF56" s="2">
        <v>0.961</v>
      </c>
      <c r="AG56" s="61">
        <f t="shared" si="2"/>
        <v>-11.42148133239318</v>
      </c>
      <c r="AH56" s="4">
        <f t="shared" si="14"/>
        <v>-51.89631896333725</v>
      </c>
      <c r="AI56" s="4">
        <f t="shared" si="5"/>
        <v>-52.264561282136455</v>
      </c>
    </row>
    <row r="57" spans="12:35" ht="12.75">
      <c r="L57" s="2">
        <v>0.96</v>
      </c>
      <c r="M57" s="61">
        <f t="shared" si="18"/>
        <v>-12.096852598474484</v>
      </c>
      <c r="N57" s="4">
        <f t="shared" si="12"/>
        <v>-34.67553763661237</v>
      </c>
      <c r="O57" s="4">
        <f t="shared" si="3"/>
        <v>-34.890262914187986</v>
      </c>
      <c r="AA57" s="2">
        <v>0.96</v>
      </c>
      <c r="AB57" s="61">
        <f t="shared" si="1"/>
        <v>-11.438281521873206</v>
      </c>
      <c r="AC57" s="4">
        <f t="shared" si="13"/>
        <v>-50.481243475043016</v>
      </c>
      <c r="AD57" s="4">
        <f t="shared" si="4"/>
        <v>-50.84633179764669</v>
      </c>
      <c r="AF57" s="2">
        <v>0.96</v>
      </c>
      <c r="AG57" s="61">
        <f t="shared" si="2"/>
        <v>-11.380135269670744</v>
      </c>
      <c r="AH57" s="4">
        <f t="shared" si="14"/>
        <v>-51.87675352790211</v>
      </c>
      <c r="AI57" s="4">
        <f t="shared" si="5"/>
        <v>-52.2548660882806</v>
      </c>
    </row>
    <row r="58" spans="12:35" ht="12.75">
      <c r="L58" s="2">
        <v>0.959</v>
      </c>
      <c r="M58" s="61">
        <f t="shared" si="18"/>
        <v>-12.073783897447843</v>
      </c>
      <c r="N58" s="4">
        <f t="shared" si="12"/>
        <v>-34.66442054506139</v>
      </c>
      <c r="O58" s="4">
        <f t="shared" si="3"/>
        <v>-34.884754563721486</v>
      </c>
      <c r="AA58" s="74">
        <v>0.959</v>
      </c>
      <c r="AB58" s="75">
        <f t="shared" si="1"/>
        <v>-11.398377595827625</v>
      </c>
      <c r="AC58" s="76">
        <f t="shared" si="13"/>
        <v>-50.46233867320256</v>
      </c>
      <c r="AD58" s="76">
        <f t="shared" si="4"/>
        <v>-50.836966111684646</v>
      </c>
      <c r="AF58" s="2">
        <v>0.959</v>
      </c>
      <c r="AG58" s="61">
        <f t="shared" si="2"/>
        <v>-11.33874438373017</v>
      </c>
      <c r="AH58" s="4">
        <f t="shared" si="14"/>
        <v>-51.85717404884796</v>
      </c>
      <c r="AI58" s="4">
        <f t="shared" si="5"/>
        <v>-52.24516628244078</v>
      </c>
    </row>
    <row r="59" spans="12:35" ht="12.75">
      <c r="L59" s="2">
        <v>0.958</v>
      </c>
      <c r="M59" s="61">
        <f t="shared" si="18"/>
        <v>-12.050690589389678</v>
      </c>
      <c r="N59" s="4">
        <f t="shared" si="12"/>
        <v>-34.653295603921144</v>
      </c>
      <c r="O59" s="4">
        <f t="shared" si="3"/>
        <v>-34.87924363610719</v>
      </c>
      <c r="AA59" s="2">
        <v>0.958</v>
      </c>
      <c r="AB59" s="61">
        <f t="shared" si="1"/>
        <v>-11.358430424866285</v>
      </c>
      <c r="AC59" s="4">
        <f t="shared" si="13"/>
        <v>-50.44342030900233</v>
      </c>
      <c r="AD59" s="4">
        <f t="shared" si="4"/>
        <v>-50.82759597352554</v>
      </c>
      <c r="AF59" s="81">
        <v>0.958</v>
      </c>
      <c r="AG59" s="82">
        <f t="shared" si="2"/>
        <v>-11.297308579162667</v>
      </c>
      <c r="AH59" s="83">
        <f t="shared" si="14"/>
        <v>-51.83758050386101</v>
      </c>
      <c r="AI59" s="83">
        <f t="shared" si="5"/>
        <v>-52.23546185914125</v>
      </c>
    </row>
    <row r="60" spans="12:35" ht="12.75">
      <c r="L60" s="2">
        <v>0.957</v>
      </c>
      <c r="M60" s="61">
        <f t="shared" si="18"/>
        <v>-12.027572622325344</v>
      </c>
      <c r="N60" s="4">
        <f t="shared" si="12"/>
        <v>-34.6421628008057</v>
      </c>
      <c r="O60" s="4">
        <f t="shared" si="3"/>
        <v>-34.87373012830948</v>
      </c>
      <c r="AA60" s="2">
        <v>0.957</v>
      </c>
      <c r="AB60" s="61">
        <f t="shared" si="1"/>
        <v>-11.318439916909506</v>
      </c>
      <c r="AC60" s="4">
        <f t="shared" si="13"/>
        <v>-50.424488360874456</v>
      </c>
      <c r="AD60" s="4">
        <f t="shared" si="4"/>
        <v>-50.81822137788249</v>
      </c>
      <c r="AF60" s="2">
        <v>0.957</v>
      </c>
      <c r="AG60" s="61">
        <f t="shared" si="2"/>
        <v>-11.255827760257354</v>
      </c>
      <c r="AH60" s="4">
        <f t="shared" si="14"/>
        <v>-51.8179728705514</v>
      </c>
      <c r="AI60" s="4">
        <f t="shared" si="5"/>
        <v>-52.22575281289498</v>
      </c>
    </row>
    <row r="61" spans="12:35" ht="12.75">
      <c r="L61" s="2">
        <v>0.956</v>
      </c>
      <c r="M61" s="61">
        <f t="shared" si="18"/>
        <v>-12.004429944115657</v>
      </c>
      <c r="N61" s="4">
        <f t="shared" si="12"/>
        <v>-34.63102212330526</v>
      </c>
      <c r="O61" s="4">
        <f t="shared" si="3"/>
        <v>-34.868214037286656</v>
      </c>
      <c r="AA61" s="2">
        <v>0.956</v>
      </c>
      <c r="AB61" s="61">
        <f t="shared" si="1"/>
        <v>-11.278405979584294</v>
      </c>
      <c r="AC61" s="4">
        <f t="shared" si="13"/>
        <v>-50.405542807213955</v>
      </c>
      <c r="AD61" s="4">
        <f t="shared" si="4"/>
        <v>-50.8088423194582</v>
      </c>
      <c r="AF61" s="2">
        <v>0.956</v>
      </c>
      <c r="AG61" s="61">
        <f t="shared" si="2"/>
        <v>-11.214301830998252</v>
      </c>
      <c r="AH61" s="4">
        <f t="shared" si="14"/>
        <v>-51.79835112649247</v>
      </c>
      <c r="AI61" s="4">
        <f t="shared" si="5"/>
        <v>-52.21603913820402</v>
      </c>
    </row>
    <row r="62" spans="12:35" ht="12.75">
      <c r="L62" s="2">
        <v>0.955</v>
      </c>
      <c r="M62" s="61">
        <f t="shared" si="18"/>
        <v>-11.981262502456346</v>
      </c>
      <c r="N62" s="4">
        <f t="shared" si="12"/>
        <v>-34.61987355898196</v>
      </c>
      <c r="O62" s="4">
        <f t="shared" si="3"/>
        <v>-34.862695359990994</v>
      </c>
      <c r="AA62" s="2">
        <v>0.955</v>
      </c>
      <c r="AB62" s="61">
        <f t="shared" si="1"/>
        <v>-11.238328520224993</v>
      </c>
      <c r="AC62" s="4">
        <f t="shared" si="13"/>
        <v>-50.386583626336225</v>
      </c>
      <c r="AD62" s="4">
        <f t="shared" si="4"/>
        <v>-50.79945879294438</v>
      </c>
      <c r="AF62" s="2">
        <v>0.955</v>
      </c>
      <c r="AG62" s="61">
        <f t="shared" si="2"/>
        <v>-11.172730695064415</v>
      </c>
      <c r="AH62" s="4">
        <f t="shared" si="14"/>
        <v>-51.778715249188494</v>
      </c>
      <c r="AI62" s="4">
        <f t="shared" si="5"/>
        <v>-52.206320829559225</v>
      </c>
    </row>
    <row r="63" spans="12:35" ht="12.75">
      <c r="L63" s="2">
        <v>0.954</v>
      </c>
      <c r="M63" s="61">
        <f t="shared" si="18"/>
        <v>-11.958070244877938</v>
      </c>
      <c r="N63" s="4">
        <f t="shared" si="12"/>
        <v>-34.60871709535755</v>
      </c>
      <c r="O63" s="4">
        <f t="shared" si="3"/>
        <v>-34.85717409336852</v>
      </c>
      <c r="AA63" s="2">
        <v>0.954</v>
      </c>
      <c r="AB63" s="61">
        <f t="shared" si="1"/>
        <v>-11.198207445869857</v>
      </c>
      <c r="AC63" s="4">
        <f t="shared" si="13"/>
        <v>-50.36761079652511</v>
      </c>
      <c r="AD63" s="4">
        <f t="shared" si="4"/>
        <v>-50.79007079302222</v>
      </c>
      <c r="AF63" s="2">
        <v>0.954</v>
      </c>
      <c r="AG63" s="61">
        <f t="shared" si="2"/>
        <v>-11.131114255827912</v>
      </c>
      <c r="AH63" s="4">
        <f t="shared" si="14"/>
        <v>-51.75906521609066</v>
      </c>
      <c r="AI63" s="4">
        <f t="shared" si="5"/>
        <v>-52.19659788144035</v>
      </c>
    </row>
    <row r="64" spans="12:35" ht="12.75">
      <c r="L64" s="2">
        <v>0.953</v>
      </c>
      <c r="M64" s="61">
        <f t="shared" si="18"/>
        <v>-11.934853118744204</v>
      </c>
      <c r="N64" s="4">
        <f t="shared" si="12"/>
        <v>-34.59755271993133</v>
      </c>
      <c r="O64" s="4">
        <f t="shared" si="3"/>
        <v>-34.85165023435922</v>
      </c>
      <c r="AA64" s="2">
        <v>0.953</v>
      </c>
      <c r="AB64" s="61">
        <f t="shared" si="1"/>
        <v>-11.158042663261924</v>
      </c>
      <c r="AC64" s="4">
        <f t="shared" si="13"/>
        <v>-50.34862429598692</v>
      </c>
      <c r="AD64" s="4">
        <f t="shared" si="4"/>
        <v>-50.78067831436189</v>
      </c>
      <c r="AF64" s="2">
        <v>0.953</v>
      </c>
      <c r="AG64" s="61">
        <f t="shared" si="2"/>
        <v>-11.089452416353286</v>
      </c>
      <c r="AH64" s="4">
        <f t="shared" si="14"/>
        <v>-51.7394010045812</v>
      </c>
      <c r="AI64" s="4">
        <f t="shared" si="5"/>
        <v>-52.18687028831568</v>
      </c>
    </row>
    <row r="65" spans="12:35" ht="12.75">
      <c r="L65" s="2">
        <v>0.952</v>
      </c>
      <c r="M65" s="61">
        <f t="shared" si="18"/>
        <v>-11.911611071252048</v>
      </c>
      <c r="N65" s="4">
        <f t="shared" si="12"/>
        <v>-34.58638042016768</v>
      </c>
      <c r="O65" s="4">
        <f t="shared" si="3"/>
        <v>-34.84612377989689</v>
      </c>
      <c r="AA65" s="2">
        <v>0.952</v>
      </c>
      <c r="AB65" s="61">
        <f t="shared" si="1"/>
        <v>-11.117834078845812</v>
      </c>
      <c r="AC65" s="4">
        <f t="shared" si="13"/>
        <v>-50.32962410289135</v>
      </c>
      <c r="AD65" s="4">
        <f t="shared" si="4"/>
        <v>-50.77128135162292</v>
      </c>
      <c r="AF65" s="2">
        <v>0.952</v>
      </c>
      <c r="AG65" s="61">
        <f t="shared" si="2"/>
        <v>-11.047745079394321</v>
      </c>
      <c r="AH65" s="4">
        <f t="shared" si="14"/>
        <v>-51.71972259201258</v>
      </c>
      <c r="AI65" s="4">
        <f t="shared" si="5"/>
        <v>-52.177138044642696</v>
      </c>
    </row>
    <row r="66" spans="12:35" ht="12.75">
      <c r="L66" s="2">
        <v>0.951</v>
      </c>
      <c r="M66" s="61">
        <f t="shared" si="18"/>
        <v>-11.888344049430955</v>
      </c>
      <c r="N66" s="4">
        <f t="shared" si="12"/>
        <v>-34.575200183493074</v>
      </c>
      <c r="O66" s="4">
        <f t="shared" si="3"/>
        <v>-34.84059472690906</v>
      </c>
      <c r="AA66" s="2">
        <v>0.951</v>
      </c>
      <c r="AB66" s="61">
        <f t="shared" si="1"/>
        <v>-11.077581598767816</v>
      </c>
      <c r="AC66" s="4">
        <f t="shared" si="13"/>
        <v>-50.310610195342946</v>
      </c>
      <c r="AD66" s="4">
        <f t="shared" si="4"/>
        <v>-50.76187989945394</v>
      </c>
      <c r="AF66" s="2">
        <v>0.951</v>
      </c>
      <c r="AG66" s="61">
        <f t="shared" si="2"/>
        <v>-11.005992147395505</v>
      </c>
      <c r="AH66" s="4">
        <f t="shared" si="14"/>
        <v>-51.70002995565048</v>
      </c>
      <c r="AI66" s="4">
        <f t="shared" si="5"/>
        <v>-52.16740114486735</v>
      </c>
    </row>
    <row r="67" spans="12:35" ht="12.75">
      <c r="L67" s="2">
        <v>0.95</v>
      </c>
      <c r="M67" s="61">
        <f t="shared" si="18"/>
        <v>-11.865052000141873</v>
      </c>
      <c r="N67" s="4">
        <f t="shared" si="12"/>
        <v>-34.564011997304405</v>
      </c>
      <c r="O67" s="4">
        <f t="shared" si="3"/>
        <v>-34.83506307231697</v>
      </c>
      <c r="AA67" s="2">
        <v>0.95</v>
      </c>
      <c r="AB67" s="61">
        <f t="shared" si="1"/>
        <v>-11.037285128873808</v>
      </c>
      <c r="AC67" s="4">
        <f t="shared" si="13"/>
        <v>-50.29158255139762</v>
      </c>
      <c r="AD67" s="4">
        <f t="shared" si="4"/>
        <v>-50.752473952492814</v>
      </c>
      <c r="AF67" s="2">
        <v>0.95</v>
      </c>
      <c r="AG67" s="61">
        <f t="shared" si="2"/>
        <v>-10.964193522488564</v>
      </c>
      <c r="AH67" s="4">
        <f t="shared" si="14"/>
        <v>-51.68032307271726</v>
      </c>
      <c r="AI67" s="4">
        <f t="shared" si="5"/>
        <v>-52.15765958342435</v>
      </c>
    </row>
    <row r="68" spans="12:35" ht="12.75">
      <c r="L68" s="2">
        <v>0.949</v>
      </c>
      <c r="M68" s="61">
        <f t="shared" si="18"/>
        <v>-11.841734870075893</v>
      </c>
      <c r="N68" s="4">
        <f t="shared" si="12"/>
        <v>-34.55281584897995</v>
      </c>
      <c r="O68" s="4">
        <f t="shared" si="3"/>
        <v>-34.82952881303586</v>
      </c>
      <c r="AA68" s="2">
        <v>0.949</v>
      </c>
      <c r="AB68" s="61">
        <f t="shared" si="1"/>
        <v>-10.996944574709012</v>
      </c>
      <c r="AC68" s="4">
        <f t="shared" si="13"/>
        <v>-50.27254114904208</v>
      </c>
      <c r="AD68" s="4">
        <f t="shared" si="4"/>
        <v>-50.74306350536633</v>
      </c>
      <c r="AF68" s="2">
        <v>0.949</v>
      </c>
      <c r="AG68" s="61">
        <f t="shared" si="2"/>
        <v>-10.922349106491813</v>
      </c>
      <c r="AH68" s="4">
        <f t="shared" si="14"/>
        <v>-51.66060192037779</v>
      </c>
      <c r="AI68" s="4">
        <f t="shared" si="5"/>
        <v>-52.14791335473716</v>
      </c>
    </row>
    <row r="69" spans="12:35" ht="12.75">
      <c r="L69" s="2">
        <v>0.948</v>
      </c>
      <c r="M69" s="61">
        <f t="shared" si="18"/>
        <v>-11.818392605755012</v>
      </c>
      <c r="N69" s="4">
        <f t="shared" si="12"/>
        <v>-34.541611725850935</v>
      </c>
      <c r="O69" s="4">
        <f t="shared" si="3"/>
        <v>-34.823991945974605</v>
      </c>
      <c r="AA69" s="2">
        <v>0.948</v>
      </c>
      <c r="AB69" s="61">
        <f t="shared" si="1"/>
        <v>-10.956559841515556</v>
      </c>
      <c r="AC69" s="4">
        <f t="shared" si="13"/>
        <v>-50.25348596621635</v>
      </c>
      <c r="AD69" s="4">
        <f t="shared" si="4"/>
        <v>-50.73364855269036</v>
      </c>
      <c r="AF69" s="2">
        <v>0.948</v>
      </c>
      <c r="AG69" s="61">
        <f t="shared" si="2"/>
        <v>-10.880458800909153</v>
      </c>
      <c r="AH69" s="4">
        <f t="shared" si="14"/>
        <v>-51.64086647573311</v>
      </c>
      <c r="AI69" s="4">
        <f t="shared" si="5"/>
        <v>-52.13816245321786</v>
      </c>
    </row>
    <row r="70" spans="12:35" ht="12.75">
      <c r="L70" s="2">
        <v>0.947</v>
      </c>
      <c r="M70" s="61">
        <f t="shared" si="18"/>
        <v>-11.795025153530592</v>
      </c>
      <c r="N70" s="4">
        <f t="shared" si="12"/>
        <v>-34.53039961521753</v>
      </c>
      <c r="O70" s="4">
        <f t="shared" si="3"/>
        <v>-34.818452468035794</v>
      </c>
      <c r="AA70" s="2">
        <v>0.947</v>
      </c>
      <c r="AB70" s="61">
        <f t="shared" si="1"/>
        <v>-10.916130834231264</v>
      </c>
      <c r="AC70" s="4">
        <f t="shared" si="13"/>
        <v>-50.23441698081116</v>
      </c>
      <c r="AD70" s="4">
        <f t="shared" si="4"/>
        <v>-50.72422908907001</v>
      </c>
      <c r="AF70" s="2">
        <v>0.947</v>
      </c>
      <c r="AG70" s="61">
        <f t="shared" si="2"/>
        <v>-10.838522506928626</v>
      </c>
      <c r="AH70" s="4">
        <f t="shared" si="14"/>
        <v>-51.62111671582244</v>
      </c>
      <c r="AI70" s="4">
        <f t="shared" si="5"/>
        <v>-52.128406873267004</v>
      </c>
    </row>
    <row r="71" spans="12:35" ht="12.75">
      <c r="L71" s="2">
        <v>0.946</v>
      </c>
      <c r="M71" s="61">
        <f t="shared" si="18"/>
        <v>-11.771632459582126</v>
      </c>
      <c r="N71" s="4">
        <f t="shared" si="12"/>
        <v>-34.51917950435757</v>
      </c>
      <c r="O71" s="4">
        <f t="shared" si="3"/>
        <v>-34.81291037611583</v>
      </c>
      <c r="AA71" s="2">
        <v>0.946</v>
      </c>
      <c r="AB71" s="61">
        <f t="shared" si="1"/>
        <v>-10.875657457489751</v>
      </c>
      <c r="AC71" s="4">
        <f t="shared" si="13"/>
        <v>-50.21533417064246</v>
      </c>
      <c r="AD71" s="4">
        <f t="shared" si="4"/>
        <v>-50.714805109099125</v>
      </c>
      <c r="AF71" s="2">
        <v>0.946</v>
      </c>
      <c r="AG71" s="61">
        <f t="shared" si="2"/>
        <v>-10.796540125419973</v>
      </c>
      <c r="AH71" s="4">
        <f t="shared" si="14"/>
        <v>-51.60135261764265</v>
      </c>
      <c r="AI71" s="4">
        <f t="shared" si="5"/>
        <v>-52.118646609273966</v>
      </c>
    </row>
    <row r="72" spans="12:35" ht="12.75">
      <c r="L72" s="2">
        <v>0.945</v>
      </c>
      <c r="M72" s="61">
        <f t="shared" si="18"/>
        <v>-11.748214469917917</v>
      </c>
      <c r="N72" s="4">
        <f t="shared" si="12"/>
        <v>-34.50795138050121</v>
      </c>
      <c r="O72" s="4">
        <f t="shared" si="3"/>
        <v>-34.807365667104655</v>
      </c>
      <c r="AA72" s="2">
        <v>0.945</v>
      </c>
      <c r="AB72" s="61">
        <f t="shared" si="1"/>
        <v>-10.835139615617218</v>
      </c>
      <c r="AC72" s="4">
        <f t="shared" si="13"/>
        <v>-50.19623751348595</v>
      </c>
      <c r="AD72" s="4">
        <f t="shared" si="4"/>
        <v>-50.7053766073607</v>
      </c>
      <c r="AF72" s="2">
        <v>0.945</v>
      </c>
      <c r="AG72" s="61">
        <f t="shared" si="2"/>
        <v>-10.754511556935519</v>
      </c>
      <c r="AH72" s="4">
        <f t="shared" si="14"/>
        <v>-51.58157415810787</v>
      </c>
      <c r="AI72" s="4">
        <f t="shared" si="5"/>
        <v>-52.1088816556164</v>
      </c>
    </row>
    <row r="73" spans="12:35" ht="12.75">
      <c r="L73" s="2">
        <v>0.944</v>
      </c>
      <c r="M73" s="61">
        <f t="shared" si="18"/>
        <v>-11.724771130372513</v>
      </c>
      <c r="N73" s="4">
        <f t="shared" si="12"/>
        <v>-34.496715230863316</v>
      </c>
      <c r="O73" s="4">
        <f t="shared" si="3"/>
        <v>-34.801818337886054</v>
      </c>
      <c r="AA73" s="2">
        <v>0.944</v>
      </c>
      <c r="AB73" s="61">
        <f t="shared" si="1"/>
        <v>-10.794577212632884</v>
      </c>
      <c r="AC73" s="4">
        <f t="shared" si="13"/>
        <v>-50.17712698704564</v>
      </c>
      <c r="AD73" s="4">
        <f t="shared" si="4"/>
        <v>-50.69594357842651</v>
      </c>
      <c r="AF73" s="79">
        <v>0.944</v>
      </c>
      <c r="AG73" s="71">
        <f t="shared" si="2"/>
        <v>-10.712436701706185</v>
      </c>
      <c r="AH73" s="72">
        <f t="shared" si="14"/>
        <v>-51.56178131409569</v>
      </c>
      <c r="AI73" s="72">
        <f t="shared" si="5"/>
        <v>-52.09911200666067</v>
      </c>
    </row>
    <row r="74" spans="12:35" ht="12.75">
      <c r="L74" s="2">
        <v>0.943</v>
      </c>
      <c r="M74" s="61">
        <f t="shared" si="18"/>
        <v>-11.701302386607825</v>
      </c>
      <c r="N74" s="4">
        <f t="shared" si="12"/>
        <v>-34.48547104261086</v>
      </c>
      <c r="O74" s="4">
        <f t="shared" si="3"/>
        <v>-34.79626838533736</v>
      </c>
      <c r="AA74" s="2">
        <v>0.943</v>
      </c>
      <c r="AB74" s="61">
        <f t="shared" si="1"/>
        <v>-10.753970152245662</v>
      </c>
      <c r="AC74" s="4">
        <f t="shared" si="13"/>
        <v>-50.158002568988394</v>
      </c>
      <c r="AD74" s="4">
        <f t="shared" si="4"/>
        <v>-50.686506016857415</v>
      </c>
      <c r="AF74" s="2">
        <v>0.943</v>
      </c>
      <c r="AG74" s="61">
        <f t="shared" si="2"/>
        <v>-10.670315459642477</v>
      </c>
      <c r="AH74" s="4">
        <f t="shared" si="14"/>
        <v>-51.541974062405984</v>
      </c>
      <c r="AI74" s="4">
        <f t="shared" si="5"/>
        <v>-52.089337656761465</v>
      </c>
    </row>
    <row r="75" spans="12:35" ht="12.75">
      <c r="L75" s="2">
        <v>0.942</v>
      </c>
      <c r="M75" s="71">
        <f t="shared" si="18"/>
        <v>-11.677808184110795</v>
      </c>
      <c r="N75" s="4">
        <f t="shared" si="12"/>
        <v>-34.474218802890164</v>
      </c>
      <c r="O75" s="72">
        <f t="shared" si="3"/>
        <v>-34.79071580632966</v>
      </c>
      <c r="AA75" s="2">
        <v>0.942</v>
      </c>
      <c r="AB75" s="71">
        <f t="shared" si="1"/>
        <v>-10.713318337855494</v>
      </c>
      <c r="AC75" s="4">
        <f t="shared" si="13"/>
        <v>-50.13886423689868</v>
      </c>
      <c r="AD75" s="72">
        <f t="shared" si="4"/>
        <v>-50.67706391720295</v>
      </c>
      <c r="AF75" s="2">
        <v>0.942</v>
      </c>
      <c r="AG75" s="71">
        <f t="shared" si="2"/>
        <v>-10.628147730330939</v>
      </c>
      <c r="AH75" s="4">
        <f t="shared" si="14"/>
        <v>-51.52215237979748</v>
      </c>
      <c r="AI75" s="72">
        <f t="shared" si="5"/>
        <v>-52.07955860026208</v>
      </c>
    </row>
    <row r="76" spans="12:35" ht="12.75">
      <c r="L76" s="2">
        <v>0.941</v>
      </c>
      <c r="M76" s="61">
        <f t="shared" si="18"/>
        <v>-11.65428846819383</v>
      </c>
      <c r="N76" s="4">
        <f t="shared" si="12"/>
        <v>-34.46295849880686</v>
      </c>
      <c r="O76" s="4">
        <f t="shared" si="3"/>
        <v>-34.785160597727575</v>
      </c>
      <c r="AA76" s="2">
        <v>0.941</v>
      </c>
      <c r="AB76" s="61">
        <f t="shared" si="1"/>
        <v>-10.672621672549344</v>
      </c>
      <c r="AC76" s="4">
        <f t="shared" si="13"/>
        <v>-50.11971196832315</v>
      </c>
      <c r="AD76" s="4">
        <f t="shared" si="4"/>
        <v>-50.66761727400159</v>
      </c>
      <c r="AF76" s="2">
        <v>0.941</v>
      </c>
      <c r="AG76" s="61">
        <f t="shared" si="2"/>
        <v>-10.585933413034931</v>
      </c>
      <c r="AH76" s="4">
        <f t="shared" si="14"/>
        <v>-51.50231624295132</v>
      </c>
      <c r="AI76" s="4">
        <f t="shared" si="5"/>
        <v>-52.06977483149411</v>
      </c>
    </row>
    <row r="77" spans="12:35" ht="12.75">
      <c r="L77" s="2">
        <v>0.94</v>
      </c>
      <c r="M77" s="61">
        <f t="shared" si="18"/>
        <v>-11.630743183993486</v>
      </c>
      <c r="N77" s="4">
        <f t="shared" si="12"/>
        <v>-34.45169011743537</v>
      </c>
      <c r="O77" s="4">
        <f t="shared" si="3"/>
        <v>-34.77960275638937</v>
      </c>
      <c r="AA77" s="2">
        <v>0.94</v>
      </c>
      <c r="AB77" s="61">
        <f t="shared" si="1"/>
        <v>-10.631880059101428</v>
      </c>
      <c r="AC77" s="4">
        <f t="shared" si="13"/>
        <v>-50.10054574074426</v>
      </c>
      <c r="AD77" s="4">
        <f t="shared" si="4"/>
        <v>-50.658166081780635</v>
      </c>
      <c r="AF77" s="2">
        <v>0.94</v>
      </c>
      <c r="AG77" s="61">
        <f t="shared" si="2"/>
        <v>-10.54367240669174</v>
      </c>
      <c r="AH77" s="4">
        <f t="shared" si="14"/>
        <v>-51.48246562849604</v>
      </c>
      <c r="AI77" s="4">
        <f t="shared" si="5"/>
        <v>-52.05998634477748</v>
      </c>
    </row>
    <row r="78" spans="12:35" ht="12.75">
      <c r="L78" s="2">
        <v>0.939</v>
      </c>
      <c r="M78" s="61">
        <f t="shared" si="18"/>
        <v>-11.607172276469901</v>
      </c>
      <c r="N78" s="4">
        <f t="shared" si="12"/>
        <v>-34.44041364581577</v>
      </c>
      <c r="O78" s="4">
        <f t="shared" si="3"/>
        <v>-34.774042279166856</v>
      </c>
      <c r="AA78" s="2">
        <v>0.939</v>
      </c>
      <c r="AB78" s="61">
        <f t="shared" si="1"/>
        <v>-10.591093399971552</v>
      </c>
      <c r="AC78" s="4">
        <f t="shared" si="13"/>
        <v>-50.08136553158542</v>
      </c>
      <c r="AD78" s="4">
        <f t="shared" si="4"/>
        <v>-50.64871033505612</v>
      </c>
      <c r="AF78" s="2">
        <v>0.939</v>
      </c>
      <c r="AG78" s="61">
        <f t="shared" si="2"/>
        <v>-10.501364609911246</v>
      </c>
      <c r="AH78" s="4">
        <f t="shared" si="14"/>
        <v>-51.46260051300554</v>
      </c>
      <c r="AI78" s="4">
        <f t="shared" si="5"/>
        <v>-52.05019313442056</v>
      </c>
    </row>
    <row r="79" spans="12:35" ht="12.75">
      <c r="L79" s="2">
        <v>0.938</v>
      </c>
      <c r="M79" s="61">
        <f t="shared" si="18"/>
        <v>-11.583575690405468</v>
      </c>
      <c r="N79" s="4">
        <f t="shared" si="12"/>
        <v>-34.42912907096241</v>
      </c>
      <c r="O79" s="4">
        <f t="shared" si="3"/>
        <v>-34.7684791629055</v>
      </c>
      <c r="AA79" s="2">
        <v>0.938</v>
      </c>
      <c r="AB79" s="61">
        <f t="shared" si="1"/>
        <v>-10.550261597303656</v>
      </c>
      <c r="AC79" s="4">
        <f t="shared" si="13"/>
        <v>-50.0621713182124</v>
      </c>
      <c r="AD79" s="4">
        <f t="shared" si="4"/>
        <v>-50.63925002833284</v>
      </c>
      <c r="AF79" s="2">
        <v>0.938</v>
      </c>
      <c r="AG79" s="61">
        <f t="shared" si="2"/>
        <v>-10.459009920975483</v>
      </c>
      <c r="AH79" s="4">
        <f t="shared" si="14"/>
        <v>-51.44272087298379</v>
      </c>
      <c r="AI79" s="4">
        <f t="shared" si="5"/>
        <v>-52.04039519471996</v>
      </c>
    </row>
    <row r="80" spans="12:35" ht="12.75">
      <c r="L80" s="2">
        <v>0.937</v>
      </c>
      <c r="M80" s="61">
        <f t="shared" si="18"/>
        <v>-11.559953370405495</v>
      </c>
      <c r="N80" s="4">
        <f t="shared" si="12"/>
        <v>-34.41783637984209</v>
      </c>
      <c r="O80" s="4">
        <f t="shared" si="3"/>
        <v>-34.76291340444417</v>
      </c>
      <c r="AA80" s="2">
        <v>0.937</v>
      </c>
      <c r="AB80" s="61">
        <f t="shared" si="1"/>
        <v>-10.509384552924717</v>
      </c>
      <c r="AC80" s="4">
        <f t="shared" si="13"/>
        <v>-50.04296307792925</v>
      </c>
      <c r="AD80" s="4">
        <f t="shared" si="4"/>
        <v>-50.629785156104205</v>
      </c>
      <c r="AF80" s="2">
        <v>0.937</v>
      </c>
      <c r="AG80" s="61">
        <f t="shared" si="2"/>
        <v>-10.41660823783641</v>
      </c>
      <c r="AH80" s="4">
        <f t="shared" si="14"/>
        <v>-51.42282668487756</v>
      </c>
      <c r="AI80" s="4">
        <f t="shared" si="5"/>
        <v>-52.03059251996056</v>
      </c>
    </row>
    <row r="81" spans="12:35" ht="12.75">
      <c r="L81" s="2">
        <v>0.936</v>
      </c>
      <c r="M81" s="61">
        <f aca="true" t="shared" si="19" ref="M81:M97">-1000*(1-10^((LOG(1+L$14/1000)+(L$13-1)*LOG(L81))))</f>
        <v>-11.536305260895329</v>
      </c>
      <c r="N81" s="4">
        <f t="shared" si="12"/>
        <v>-34.406535559405846</v>
      </c>
      <c r="O81" s="4">
        <f t="shared" si="3"/>
        <v>-34.75734500061545</v>
      </c>
      <c r="AA81" s="2">
        <v>0.936</v>
      </c>
      <c r="AB81" s="61">
        <f aca="true" t="shared" si="20" ref="AB81:AB97">-1000*(1-10^((LOG(1+AA$14/1000)+(AA$13-1)*LOG(AA81))))</f>
        <v>-10.46846216834274</v>
      </c>
      <c r="AC81" s="4">
        <f t="shared" si="13"/>
        <v>-50.02374078798748</v>
      </c>
      <c r="AD81" s="4">
        <f t="shared" si="4"/>
        <v>-50.62031571285238</v>
      </c>
      <c r="AF81" s="2">
        <v>0.936</v>
      </c>
      <c r="AG81" s="61">
        <f aca="true" t="shared" si="21" ref="AG81:AG97">-1000*(1-10^((LOG(1+AF$14/1000)+(AF$13-1)*LOG(AF81))))</f>
        <v>-10.374159458114374</v>
      </c>
      <c r="AH81" s="4">
        <f t="shared" si="14"/>
        <v>-51.402917925077325</v>
      </c>
      <c r="AI81" s="4">
        <f t="shared" si="5"/>
        <v>-52.02078510441551</v>
      </c>
    </row>
    <row r="82" spans="12:35" ht="12.75">
      <c r="L82" s="2">
        <v>0.935</v>
      </c>
      <c r="M82" s="61">
        <f t="shared" si="19"/>
        <v>-11.51263130612179</v>
      </c>
      <c r="N82" s="4">
        <f t="shared" si="12"/>
        <v>-34.395226596555815</v>
      </c>
      <c r="O82" s="4">
        <f aca="true" t="shared" si="22" ref="O82:O97">((L81-L82)*N82+(L$17-L81)*O81)/(L$17-L82)</f>
        <v>-34.7517739482453</v>
      </c>
      <c r="AA82" s="74">
        <v>0.935</v>
      </c>
      <c r="AB82" s="75">
        <f t="shared" si="20"/>
        <v>-10.427494344745991</v>
      </c>
      <c r="AC82" s="76">
        <f t="shared" si="13"/>
        <v>-50.00450442557692</v>
      </c>
      <c r="AD82" s="76">
        <f aca="true" t="shared" si="23" ref="AD82:AD97">((AA81-AA82)*AC82+(AA$17-AA81)*AD81)/(AA$17-AA82)</f>
        <v>-50.610841693048144</v>
      </c>
      <c r="AF82" s="2">
        <v>0.935</v>
      </c>
      <c r="AG82" s="61">
        <f t="shared" si="21"/>
        <v>-10.331663479097308</v>
      </c>
      <c r="AH82" s="4">
        <f t="shared" si="14"/>
        <v>-51.38299456990798</v>
      </c>
      <c r="AI82" s="4">
        <f aca="true" t="shared" si="24" ref="AI82:AI97">((AF81-AF82)*AH82+(AF$17-AF81)*AI81)/(AF$17-AF82)</f>
        <v>-52.01097294234616</v>
      </c>
    </row>
    <row r="83" spans="12:35" ht="12.75">
      <c r="L83" s="2">
        <v>0.934</v>
      </c>
      <c r="M83" s="61">
        <f t="shared" si="19"/>
        <v>-11.48893145015073</v>
      </c>
      <c r="N83" s="4">
        <f aca="true" t="shared" si="25" ref="N83:N97">(L$14-(M83*L83))/(1-L83)</f>
        <v>-34.38390947817</v>
      </c>
      <c r="O83" s="4">
        <f t="shared" si="22"/>
        <v>-34.74620024415325</v>
      </c>
      <c r="AA83" s="2">
        <v>0.934</v>
      </c>
      <c r="AB83" s="61">
        <f t="shared" si="20"/>
        <v>-10.386480983001544</v>
      </c>
      <c r="AC83" s="4">
        <f aca="true" t="shared" si="26" ref="AC83:AC97">(AA$14-(AB83*AA83))/(1-AA83)</f>
        <v>-49.98525396782667</v>
      </c>
      <c r="AD83" s="4">
        <f t="shared" si="23"/>
        <v>-50.601363091150844</v>
      </c>
      <c r="AF83" s="2">
        <v>0.934</v>
      </c>
      <c r="AG83" s="61">
        <f t="shared" si="21"/>
        <v>-10.28912019773931</v>
      </c>
      <c r="AH83" s="4">
        <f aca="true" t="shared" si="27" ref="AH83:AH97">(AF$14-(AG83*AF83))/(1-AF83)</f>
        <v>-51.363056595628585</v>
      </c>
      <c r="AI83" s="4">
        <f t="shared" si="24"/>
        <v>-52.00115602800195</v>
      </c>
    </row>
    <row r="84" spans="12:35" ht="12.75">
      <c r="L84" s="2">
        <v>0.933</v>
      </c>
      <c r="M84" s="61">
        <f t="shared" si="19"/>
        <v>-11.46520563686737</v>
      </c>
      <c r="N84" s="4">
        <f t="shared" si="25"/>
        <v>-34.37258419108573</v>
      </c>
      <c r="O84" s="4">
        <f t="shared" si="22"/>
        <v>-34.74062388515224</v>
      </c>
      <c r="AA84" s="2">
        <v>0.933</v>
      </c>
      <c r="AB84" s="61">
        <f t="shared" si="20"/>
        <v>-10.345421983653512</v>
      </c>
      <c r="AC84" s="4">
        <f t="shared" si="26"/>
        <v>-49.96598939181006</v>
      </c>
      <c r="AD84" s="4">
        <f t="shared" si="23"/>
        <v>-50.59187990160844</v>
      </c>
      <c r="AF84" s="74">
        <v>0.933</v>
      </c>
      <c r="AG84" s="75">
        <f t="shared" si="21"/>
        <v>-10.246529510658299</v>
      </c>
      <c r="AH84" s="76">
        <f t="shared" si="27"/>
        <v>-51.34310397844491</v>
      </c>
      <c r="AI84" s="76">
        <f t="shared" si="24"/>
        <v>-51.9913343556205</v>
      </c>
    </row>
    <row r="85" spans="12:35" ht="12.75">
      <c r="L85" s="74">
        <v>0.932</v>
      </c>
      <c r="M85" s="75">
        <f t="shared" si="19"/>
        <v>-11.441453809974744</v>
      </c>
      <c r="N85" s="4">
        <f t="shared" si="25"/>
        <v>-34.36125072211087</v>
      </c>
      <c r="O85" s="76">
        <f t="shared" si="22"/>
        <v>-34.73504486804869</v>
      </c>
      <c r="AA85" s="79">
        <v>0.932</v>
      </c>
      <c r="AB85" s="71">
        <f t="shared" si="20"/>
        <v>-10.304317246922047</v>
      </c>
      <c r="AC85" s="72">
        <f t="shared" si="26"/>
        <v>-49.94671067453903</v>
      </c>
      <c r="AD85" s="72">
        <f t="shared" si="23"/>
        <v>-50.58239211885743</v>
      </c>
      <c r="AE85" s="79"/>
      <c r="AF85" s="79">
        <v>0.932</v>
      </c>
      <c r="AG85" s="71">
        <f t="shared" si="21"/>
        <v>-10.203891314135127</v>
      </c>
      <c r="AH85" s="72">
        <f t="shared" si="27"/>
        <v>-51.32313669450094</v>
      </c>
      <c r="AI85" s="72">
        <f t="shared" si="24"/>
        <v>-51.98150791942757</v>
      </c>
    </row>
    <row r="86" spans="12:35" ht="12.75">
      <c r="L86" s="2">
        <v>0.931</v>
      </c>
      <c r="M86" s="61">
        <f t="shared" si="19"/>
        <v>-11.417675912993253</v>
      </c>
      <c r="N86" s="4">
        <f t="shared" si="25"/>
        <v>-34.34990905801859</v>
      </c>
      <c r="O86" s="4">
        <f t="shared" si="22"/>
        <v>-34.72946318964246</v>
      </c>
      <c r="AA86" s="2">
        <v>0.931</v>
      </c>
      <c r="AB86" s="61">
        <f t="shared" si="20"/>
        <v>-10.263166672701995</v>
      </c>
      <c r="AC86" s="4">
        <f t="shared" si="26"/>
        <v>-49.92741779296295</v>
      </c>
      <c r="AD86" s="4">
        <f t="shared" si="23"/>
        <v>-50.57289973732272</v>
      </c>
      <c r="AF86" s="2">
        <v>0.931</v>
      </c>
      <c r="AG86" s="61">
        <f t="shared" si="21"/>
        <v>-10.161205504112814</v>
      </c>
      <c r="AH86" s="4">
        <f t="shared" si="27"/>
        <v>-51.30315471986915</v>
      </c>
      <c r="AI86" s="4">
        <f t="shared" si="24"/>
        <v>-51.97167671363687</v>
      </c>
    </row>
    <row r="87" spans="12:35" ht="12.75">
      <c r="L87" s="2">
        <v>0.93</v>
      </c>
      <c r="M87" s="61">
        <f t="shared" si="19"/>
        <v>-11.393871889259998</v>
      </c>
      <c r="N87" s="4">
        <f t="shared" si="25"/>
        <v>-34.33855918554577</v>
      </c>
      <c r="O87" s="4">
        <f t="shared" si="22"/>
        <v>-34.72387884672679</v>
      </c>
      <c r="AA87" s="2">
        <v>0.93</v>
      </c>
      <c r="AB87" s="61">
        <f t="shared" si="20"/>
        <v>-10.221970160561034</v>
      </c>
      <c r="AC87" s="4">
        <f t="shared" si="26"/>
        <v>-49.908110723974865</v>
      </c>
      <c r="AD87" s="4">
        <f t="shared" si="23"/>
        <v>-50.563402751417755</v>
      </c>
      <c r="AF87" s="2">
        <v>0.93</v>
      </c>
      <c r="AG87" s="61">
        <f t="shared" si="21"/>
        <v>-10.118471976193755</v>
      </c>
      <c r="AH87" s="4">
        <f t="shared" si="27"/>
        <v>-51.28315803056871</v>
      </c>
      <c r="AI87" s="4">
        <f t="shared" si="24"/>
        <v>-51.961840732450185</v>
      </c>
    </row>
    <row r="88" spans="12:35" ht="12.75">
      <c r="L88" s="2">
        <v>0.929</v>
      </c>
      <c r="M88" s="61">
        <f t="shared" si="19"/>
        <v>-11.370041681927457</v>
      </c>
      <c r="N88" s="4">
        <f t="shared" si="25"/>
        <v>-34.327201091399914</v>
      </c>
      <c r="O88" s="4">
        <f t="shared" si="22"/>
        <v>-34.71829183608838</v>
      </c>
      <c r="AA88" s="2">
        <v>0.929</v>
      </c>
      <c r="AB88" s="61">
        <f t="shared" si="20"/>
        <v>-10.180727609738094</v>
      </c>
      <c r="AC88" s="4">
        <f t="shared" si="26"/>
        <v>-49.888789444412865</v>
      </c>
      <c r="AD88" s="4">
        <f t="shared" si="23"/>
        <v>-50.553901155544445</v>
      </c>
      <c r="AF88" s="2">
        <v>0.929</v>
      </c>
      <c r="AG88" s="61">
        <f t="shared" si="21"/>
        <v>-10.075690625639066</v>
      </c>
      <c r="AH88" s="4">
        <f t="shared" si="27"/>
        <v>-51.26314660255366</v>
      </c>
      <c r="AI88" s="4">
        <f t="shared" si="24"/>
        <v>-51.95199997005727</v>
      </c>
    </row>
    <row r="89" spans="12:35" ht="12.75">
      <c r="L89" s="2">
        <v>0.928</v>
      </c>
      <c r="M89" s="61">
        <f t="shared" si="19"/>
        <v>-11.346185233963467</v>
      </c>
      <c r="N89" s="4">
        <f t="shared" si="25"/>
        <v>-34.315834762248656</v>
      </c>
      <c r="O89" s="4">
        <f t="shared" si="22"/>
        <v>-34.71270215450727</v>
      </c>
      <c r="AA89" s="2">
        <v>0.928</v>
      </c>
      <c r="AB89" s="61">
        <f t="shared" si="20"/>
        <v>-10.139438919143373</v>
      </c>
      <c r="AC89" s="4">
        <f t="shared" si="26"/>
        <v>-49.869453931041</v>
      </c>
      <c r="AD89" s="4">
        <f t="shared" si="23"/>
        <v>-50.54439494409301</v>
      </c>
      <c r="AF89" s="2">
        <v>0.928</v>
      </c>
      <c r="AG89" s="61">
        <f t="shared" si="21"/>
        <v>-10.032861347366694</v>
      </c>
      <c r="AH89" s="4">
        <f t="shared" si="27"/>
        <v>-51.24312041171819</v>
      </c>
      <c r="AI89" s="4">
        <f t="shared" si="24"/>
        <v>-51.9421544206359</v>
      </c>
    </row>
    <row r="90" spans="12:35" ht="12.75">
      <c r="L90" s="2">
        <v>0.927</v>
      </c>
      <c r="M90" s="61">
        <f t="shared" si="19"/>
        <v>-11.322302488150026</v>
      </c>
      <c r="N90" s="4">
        <f t="shared" si="25"/>
        <v>-34.30446018472502</v>
      </c>
      <c r="O90" s="4">
        <f t="shared" si="22"/>
        <v>-34.70710979875683</v>
      </c>
      <c r="AA90" s="2">
        <v>0.927</v>
      </c>
      <c r="AB90" s="61">
        <f t="shared" si="20"/>
        <v>-10.098103987355</v>
      </c>
      <c r="AC90" s="4">
        <f t="shared" si="26"/>
        <v>-49.850104160574205</v>
      </c>
      <c r="AD90" s="4">
        <f t="shared" si="23"/>
        <v>-50.53488411144206</v>
      </c>
      <c r="AF90" s="2">
        <v>0.927</v>
      </c>
      <c r="AG90" s="61">
        <f t="shared" si="21"/>
        <v>-9.989984035950638</v>
      </c>
      <c r="AH90" s="4">
        <f t="shared" si="27"/>
        <v>-51.22307943388713</v>
      </c>
      <c r="AI90" s="4">
        <f t="shared" si="24"/>
        <v>-51.93230407835167</v>
      </c>
    </row>
    <row r="91" spans="12:35" ht="12.75">
      <c r="L91" s="2">
        <v>0.926</v>
      </c>
      <c r="M91" s="61">
        <f t="shared" si="19"/>
        <v>-11.298393387082161</v>
      </c>
      <c r="N91" s="4">
        <f t="shared" si="25"/>
        <v>-34.29307734543134</v>
      </c>
      <c r="O91" s="4">
        <f t="shared" si="22"/>
        <v>-34.70151476560378</v>
      </c>
      <c r="AA91" s="2">
        <v>0.926</v>
      </c>
      <c r="AB91" s="61">
        <f t="shared" si="20"/>
        <v>-10.056722712618926</v>
      </c>
      <c r="AC91" s="4">
        <f t="shared" si="26"/>
        <v>-49.830740109660475</v>
      </c>
      <c r="AD91" s="4">
        <f t="shared" si="23"/>
        <v>-50.52536865195852</v>
      </c>
      <c r="AF91" s="2">
        <v>0.926</v>
      </c>
      <c r="AG91" s="61">
        <f t="shared" si="21"/>
        <v>-9.947058585618507</v>
      </c>
      <c r="AH91" s="4">
        <f t="shared" si="27"/>
        <v>-51.20302364482791</v>
      </c>
      <c r="AI91" s="4">
        <f t="shared" si="24"/>
        <v>-51.922448937358105</v>
      </c>
    </row>
    <row r="92" spans="12:35" ht="12.75">
      <c r="L92" s="2">
        <v>0.925</v>
      </c>
      <c r="M92" s="61">
        <f t="shared" si="19"/>
        <v>-11.274457873167387</v>
      </c>
      <c r="N92" s="4">
        <f t="shared" si="25"/>
        <v>-34.28168623093557</v>
      </c>
      <c r="O92" s="4">
        <f t="shared" si="22"/>
        <v>-34.69591705180821</v>
      </c>
      <c r="AA92" s="2">
        <v>0.925</v>
      </c>
      <c r="AB92" s="61">
        <f t="shared" si="20"/>
        <v>-10.015294992846368</v>
      </c>
      <c r="AC92" s="4">
        <f t="shared" si="26"/>
        <v>-49.811361754894826</v>
      </c>
      <c r="AD92" s="4">
        <f t="shared" si="23"/>
        <v>-50.51584855999768</v>
      </c>
      <c r="AF92" s="2">
        <v>0.925</v>
      </c>
      <c r="AG92" s="61">
        <f t="shared" si="21"/>
        <v>-9.904084890250742</v>
      </c>
      <c r="AH92" s="4">
        <f t="shared" si="27"/>
        <v>-51.18295302024088</v>
      </c>
      <c r="AI92" s="4">
        <f t="shared" si="24"/>
        <v>-51.91258899179654</v>
      </c>
    </row>
    <row r="93" spans="12:35" ht="12.75">
      <c r="L93" s="2">
        <v>0.924</v>
      </c>
      <c r="M93" s="61">
        <f t="shared" si="19"/>
        <v>-11.250495888625478</v>
      </c>
      <c r="N93" s="4">
        <f t="shared" si="25"/>
        <v>-34.27028682776393</v>
      </c>
      <c r="O93" s="4">
        <f t="shared" si="22"/>
        <v>-34.690316654123414</v>
      </c>
      <c r="AA93" s="2">
        <v>0.924</v>
      </c>
      <c r="AB93" s="61">
        <f t="shared" si="20"/>
        <v>-9.973820725613812</v>
      </c>
      <c r="AC93" s="4">
        <f t="shared" si="26"/>
        <v>-49.791969072800505</v>
      </c>
      <c r="AD93" s="4">
        <f t="shared" si="23"/>
        <v>-50.50632382990298</v>
      </c>
      <c r="AF93" s="2">
        <v>0.924</v>
      </c>
      <c r="AG93" s="61">
        <f t="shared" si="21"/>
        <v>-9.861062843378509</v>
      </c>
      <c r="AH93" s="4">
        <f t="shared" si="27"/>
        <v>-51.162867535766566</v>
      </c>
      <c r="AI93" s="4">
        <f t="shared" si="24"/>
        <v>-51.90272423579614</v>
      </c>
    </row>
    <row r="94" spans="12:35" ht="12.75">
      <c r="L94" s="2">
        <v>0.923</v>
      </c>
      <c r="M94" s="61">
        <f t="shared" si="19"/>
        <v>-11.226507375486804</v>
      </c>
      <c r="N94" s="4">
        <f t="shared" si="25"/>
        <v>-34.25887912241144</v>
      </c>
      <c r="O94" s="4">
        <f t="shared" si="22"/>
        <v>-34.68471356929599</v>
      </c>
      <c r="AA94" s="2">
        <v>0.923</v>
      </c>
      <c r="AB94" s="61">
        <f t="shared" si="20"/>
        <v>-9.932299808160238</v>
      </c>
      <c r="AC94" s="4">
        <f t="shared" si="26"/>
        <v>-49.77256203984549</v>
      </c>
      <c r="AD94" s="4">
        <f t="shared" si="23"/>
        <v>-50.496794456006135</v>
      </c>
      <c r="AF94" s="2">
        <v>0.923</v>
      </c>
      <c r="AG94" s="61">
        <f t="shared" si="21"/>
        <v>-9.817992338182812</v>
      </c>
      <c r="AH94" s="4">
        <f t="shared" si="27"/>
        <v>-51.14276716697748</v>
      </c>
      <c r="AI94" s="4">
        <f t="shared" si="24"/>
        <v>-51.89285466347382</v>
      </c>
    </row>
    <row r="95" spans="12:35" ht="12.75">
      <c r="L95" s="2">
        <v>0.922</v>
      </c>
      <c r="M95" s="61">
        <f t="shared" si="19"/>
        <v>-11.202492275591336</v>
      </c>
      <c r="N95" s="4">
        <f t="shared" si="25"/>
        <v>-34.24746310134345</v>
      </c>
      <c r="O95" s="4">
        <f t="shared" si="22"/>
        <v>-34.67910779406583</v>
      </c>
      <c r="AA95" s="2">
        <v>0.922</v>
      </c>
      <c r="AB95" s="61">
        <f t="shared" si="20"/>
        <v>-9.890732137386227</v>
      </c>
      <c r="AC95" s="4">
        <f t="shared" si="26"/>
        <v>-49.753140632434615</v>
      </c>
      <c r="AD95" s="4">
        <f t="shared" si="23"/>
        <v>-50.48726043262701</v>
      </c>
      <c r="AF95" s="2">
        <v>0.922</v>
      </c>
      <c r="AG95" s="61">
        <f t="shared" si="21"/>
        <v>-9.774873267492378</v>
      </c>
      <c r="AH95" s="4">
        <f t="shared" si="27"/>
        <v>-51.122651889385</v>
      </c>
      <c r="AI95" s="4">
        <f t="shared" si="24"/>
        <v>-51.88298026893422</v>
      </c>
    </row>
    <row r="96" spans="12:35" ht="12.75">
      <c r="L96" s="2">
        <v>0.921</v>
      </c>
      <c r="M96" s="61">
        <f t="shared" si="19"/>
        <v>-11.178450530589078</v>
      </c>
      <c r="N96" s="4">
        <f t="shared" si="25"/>
        <v>-34.236038750980505</v>
      </c>
      <c r="O96" s="4">
        <f t="shared" si="22"/>
        <v>-34.67349932516601</v>
      </c>
      <c r="AA96" s="2">
        <v>0.921</v>
      </c>
      <c r="AB96" s="61">
        <f t="shared" si="20"/>
        <v>-9.849117609852186</v>
      </c>
      <c r="AC96" s="4">
        <f t="shared" si="26"/>
        <v>-49.73370482691313</v>
      </c>
      <c r="AD96" s="4">
        <f t="shared" si="23"/>
        <v>-50.47772175407367</v>
      </c>
      <c r="AF96" s="2">
        <v>0.921</v>
      </c>
      <c r="AG96" s="61">
        <f t="shared" si="21"/>
        <v>-9.731705523782331</v>
      </c>
      <c r="AH96" s="4">
        <f t="shared" si="27"/>
        <v>-51.102521678436396</v>
      </c>
      <c r="AI96" s="4">
        <f t="shared" si="24"/>
        <v>-51.873101046269696</v>
      </c>
    </row>
    <row r="97" spans="12:35" ht="12.75">
      <c r="L97" s="2">
        <v>0.92</v>
      </c>
      <c r="M97" s="61">
        <f t="shared" si="19"/>
        <v>-11.154382081937753</v>
      </c>
      <c r="N97" s="4">
        <f t="shared" si="25"/>
        <v>-34.22460605771586</v>
      </c>
      <c r="O97" s="4">
        <f t="shared" si="22"/>
        <v>-34.667888159322885</v>
      </c>
      <c r="AA97" s="2">
        <v>0.92</v>
      </c>
      <c r="AB97" s="61">
        <f t="shared" si="20"/>
        <v>-9.807456121777246</v>
      </c>
      <c r="AC97" s="4">
        <f t="shared" si="26"/>
        <v>-49.71425459956169</v>
      </c>
      <c r="AD97" s="4">
        <f t="shared" si="23"/>
        <v>-50.468178414642274</v>
      </c>
      <c r="AF97" s="2">
        <v>0.92</v>
      </c>
      <c r="AG97" s="61">
        <f t="shared" si="21"/>
        <v>-9.68848899917296</v>
      </c>
      <c r="AH97" s="4">
        <f t="shared" si="27"/>
        <v>-51.08237650951098</v>
      </c>
      <c r="AI97" s="4">
        <f t="shared" si="24"/>
        <v>-51.86321698956021</v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fairchij</dc:creator>
  <cp:keywords/>
  <dc:description/>
  <cp:lastModifiedBy>ian</cp:lastModifiedBy>
  <cp:lastPrinted>2010-09-03T07:31:55Z</cp:lastPrinted>
  <dcterms:created xsi:type="dcterms:W3CDTF">2009-09-08T13:57:27Z</dcterms:created>
  <dcterms:modified xsi:type="dcterms:W3CDTF">2011-12-28T21:36:12Z</dcterms:modified>
  <cp:category/>
  <cp:version/>
  <cp:contentType/>
  <cp:contentStatus/>
</cp:coreProperties>
</file>