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4915" windowHeight="12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9" i="1"/>
  <c r="I108"/>
  <c r="I107"/>
  <c r="I106"/>
  <c r="I105"/>
  <c r="I104"/>
  <c r="I99"/>
  <c r="I98"/>
  <c r="S98" s="1"/>
  <c r="S99"/>
  <c r="I100"/>
  <c r="S100" s="1"/>
  <c r="I101"/>
  <c r="S101" s="1"/>
  <c r="I102"/>
  <c r="M23"/>
  <c r="D32"/>
  <c r="F32"/>
  <c r="H32"/>
  <c r="I32"/>
  <c r="J32"/>
  <c r="K32"/>
  <c r="M32"/>
  <c r="N32" s="1"/>
  <c r="O32" s="1"/>
  <c r="S109"/>
  <c r="S108"/>
  <c r="S107"/>
  <c r="S106"/>
  <c r="S105"/>
  <c r="S104"/>
  <c r="S103"/>
  <c r="S102"/>
  <c r="S80"/>
  <c r="S79"/>
  <c r="S78"/>
  <c r="S77"/>
  <c r="S76"/>
  <c r="S75"/>
  <c r="S74"/>
  <c r="S73"/>
  <c r="S72"/>
  <c r="S71"/>
  <c r="S70"/>
  <c r="S69"/>
  <c r="S59"/>
  <c r="S58"/>
  <c r="S57"/>
  <c r="S56"/>
  <c r="S55"/>
  <c r="S54"/>
  <c r="S53"/>
  <c r="S52"/>
  <c r="S51"/>
  <c r="S50"/>
  <c r="S49"/>
  <c r="S48"/>
  <c r="S28"/>
  <c r="S29"/>
  <c r="S30"/>
  <c r="S31"/>
  <c r="S32"/>
  <c r="S33"/>
  <c r="S34"/>
  <c r="S35"/>
  <c r="S36"/>
  <c r="S37"/>
  <c r="S38"/>
  <c r="S27"/>
  <c r="P109"/>
  <c r="P108"/>
  <c r="P107"/>
  <c r="P106"/>
  <c r="P105"/>
  <c r="P104"/>
  <c r="P103"/>
  <c r="P102"/>
  <c r="P101"/>
  <c r="P100"/>
  <c r="P99"/>
  <c r="P98"/>
  <c r="P80"/>
  <c r="P79"/>
  <c r="P78"/>
  <c r="P77"/>
  <c r="P76"/>
  <c r="P75"/>
  <c r="P74"/>
  <c r="P73"/>
  <c r="P72"/>
  <c r="P71"/>
  <c r="P70"/>
  <c r="P69"/>
  <c r="P59"/>
  <c r="P58"/>
  <c r="P57"/>
  <c r="P56"/>
  <c r="P55"/>
  <c r="P54"/>
  <c r="P53"/>
  <c r="P52"/>
  <c r="P51"/>
  <c r="P50"/>
  <c r="P49"/>
  <c r="P48"/>
  <c r="P28"/>
  <c r="P29"/>
  <c r="P30"/>
  <c r="P31"/>
  <c r="P32"/>
  <c r="P33"/>
  <c r="P34"/>
  <c r="P35"/>
  <c r="P36"/>
  <c r="P37"/>
  <c r="P38"/>
  <c r="P27"/>
  <c r="Q109"/>
  <c r="Q108"/>
  <c r="Q107"/>
  <c r="Q106"/>
  <c r="Q105"/>
  <c r="Q104"/>
  <c r="Q103"/>
  <c r="Q102"/>
  <c r="Q101"/>
  <c r="Q100"/>
  <c r="Q99"/>
  <c r="Q98"/>
  <c r="Q80"/>
  <c r="Q79"/>
  <c r="Q78"/>
  <c r="Q77"/>
  <c r="Q76"/>
  <c r="Q75"/>
  <c r="Q74"/>
  <c r="Q73"/>
  <c r="Q72"/>
  <c r="Q71"/>
  <c r="Q70"/>
  <c r="Q69"/>
  <c r="Q38"/>
  <c r="Q37"/>
  <c r="Q36"/>
  <c r="Q35"/>
  <c r="Q34"/>
  <c r="Q33"/>
  <c r="Q32"/>
  <c r="Q31"/>
  <c r="Q30"/>
  <c r="Q29"/>
  <c r="Q28"/>
  <c r="Q27"/>
  <c r="Q49"/>
  <c r="Q50"/>
  <c r="Q51"/>
  <c r="Q52"/>
  <c r="Q53"/>
  <c r="Q54"/>
  <c r="Q55"/>
  <c r="Q56"/>
  <c r="Q57"/>
  <c r="Q58"/>
  <c r="Q59"/>
  <c r="Q48"/>
  <c r="K109"/>
  <c r="M109" s="1"/>
  <c r="N109" s="1"/>
  <c r="J109"/>
  <c r="H109"/>
  <c r="F109"/>
  <c r="D109"/>
  <c r="B109"/>
  <c r="K108"/>
  <c r="M108" s="1"/>
  <c r="N108" s="1"/>
  <c r="J108"/>
  <c r="H108"/>
  <c r="F108"/>
  <c r="D108"/>
  <c r="B108"/>
  <c r="K107"/>
  <c r="M107" s="1"/>
  <c r="N107" s="1"/>
  <c r="J107"/>
  <c r="H107"/>
  <c r="F107"/>
  <c r="D107"/>
  <c r="B107"/>
  <c r="K106"/>
  <c r="M106" s="1"/>
  <c r="N106" s="1"/>
  <c r="J106"/>
  <c r="H106"/>
  <c r="F106"/>
  <c r="D106"/>
  <c r="B106"/>
  <c r="K105"/>
  <c r="M105" s="1"/>
  <c r="N105" s="1"/>
  <c r="J105"/>
  <c r="H105"/>
  <c r="F105"/>
  <c r="D105"/>
  <c r="B105"/>
  <c r="K104"/>
  <c r="M104" s="1"/>
  <c r="N104" s="1"/>
  <c r="J104"/>
  <c r="H104"/>
  <c r="F104"/>
  <c r="D104"/>
  <c r="B104"/>
  <c r="K103"/>
  <c r="M103" s="1"/>
  <c r="N103" s="1"/>
  <c r="I103"/>
  <c r="J103" s="1"/>
  <c r="H103"/>
  <c r="F103"/>
  <c r="D103"/>
  <c r="B103"/>
  <c r="K102"/>
  <c r="M102" s="1"/>
  <c r="N102" s="1"/>
  <c r="J102"/>
  <c r="H102"/>
  <c r="F102"/>
  <c r="D102"/>
  <c r="B102"/>
  <c r="K101"/>
  <c r="M101" s="1"/>
  <c r="N101" s="1"/>
  <c r="J101"/>
  <c r="H101"/>
  <c r="F101"/>
  <c r="D101"/>
  <c r="B101"/>
  <c r="K100"/>
  <c r="M100" s="1"/>
  <c r="N100" s="1"/>
  <c r="J100"/>
  <c r="H100"/>
  <c r="F100"/>
  <c r="D100"/>
  <c r="B100"/>
  <c r="K99"/>
  <c r="M99" s="1"/>
  <c r="N99" s="1"/>
  <c r="J99"/>
  <c r="H99"/>
  <c r="F99"/>
  <c r="D99"/>
  <c r="B99"/>
  <c r="K98"/>
  <c r="M98" s="1"/>
  <c r="N98" s="1"/>
  <c r="J98"/>
  <c r="H98"/>
  <c r="F98"/>
  <c r="D98"/>
  <c r="B98"/>
  <c r="K80"/>
  <c r="M80" s="1"/>
  <c r="N80" s="1"/>
  <c r="I80"/>
  <c r="J80" s="1"/>
  <c r="H80"/>
  <c r="F80"/>
  <c r="D80"/>
  <c r="B80"/>
  <c r="K79"/>
  <c r="M79" s="1"/>
  <c r="N79" s="1"/>
  <c r="I79"/>
  <c r="J79" s="1"/>
  <c r="H79"/>
  <c r="F79"/>
  <c r="D79"/>
  <c r="B79"/>
  <c r="K78"/>
  <c r="M78" s="1"/>
  <c r="N78" s="1"/>
  <c r="I78"/>
  <c r="J78" s="1"/>
  <c r="H78"/>
  <c r="F78"/>
  <c r="D78"/>
  <c r="B78"/>
  <c r="K77"/>
  <c r="M77" s="1"/>
  <c r="N77" s="1"/>
  <c r="I77"/>
  <c r="J77" s="1"/>
  <c r="H77"/>
  <c r="F77"/>
  <c r="D77"/>
  <c r="B77"/>
  <c r="K76"/>
  <c r="M76" s="1"/>
  <c r="N76" s="1"/>
  <c r="I76"/>
  <c r="J76" s="1"/>
  <c r="H76"/>
  <c r="F76"/>
  <c r="D76"/>
  <c r="B76"/>
  <c r="K75"/>
  <c r="M75" s="1"/>
  <c r="N75" s="1"/>
  <c r="I75"/>
  <c r="J75" s="1"/>
  <c r="H75"/>
  <c r="F75"/>
  <c r="D75"/>
  <c r="B75"/>
  <c r="K74"/>
  <c r="M74" s="1"/>
  <c r="N74" s="1"/>
  <c r="I74"/>
  <c r="J74" s="1"/>
  <c r="H74"/>
  <c r="F74"/>
  <c r="D74"/>
  <c r="B74"/>
  <c r="O74" s="1"/>
  <c r="K73"/>
  <c r="M73" s="1"/>
  <c r="N73" s="1"/>
  <c r="I73"/>
  <c r="J73" s="1"/>
  <c r="H73"/>
  <c r="F73"/>
  <c r="D73"/>
  <c r="B73"/>
  <c r="O73" s="1"/>
  <c r="K72"/>
  <c r="M72" s="1"/>
  <c r="N72" s="1"/>
  <c r="I72"/>
  <c r="J72" s="1"/>
  <c r="H72"/>
  <c r="F72"/>
  <c r="D72"/>
  <c r="B72"/>
  <c r="K71"/>
  <c r="M71" s="1"/>
  <c r="N71" s="1"/>
  <c r="I71"/>
  <c r="J71" s="1"/>
  <c r="H71"/>
  <c r="F71"/>
  <c r="D71"/>
  <c r="B71"/>
  <c r="K70"/>
  <c r="M70" s="1"/>
  <c r="N70" s="1"/>
  <c r="I70"/>
  <c r="J70" s="1"/>
  <c r="H70"/>
  <c r="F70"/>
  <c r="D70"/>
  <c r="B70"/>
  <c r="K69"/>
  <c r="M69" s="1"/>
  <c r="N69" s="1"/>
  <c r="I69"/>
  <c r="J69" s="1"/>
  <c r="H69"/>
  <c r="F69"/>
  <c r="D69"/>
  <c r="B69"/>
  <c r="M59"/>
  <c r="N59" s="1"/>
  <c r="K59"/>
  <c r="J59"/>
  <c r="I59"/>
  <c r="H59"/>
  <c r="F59"/>
  <c r="D59"/>
  <c r="B59"/>
  <c r="M58"/>
  <c r="N58" s="1"/>
  <c r="K58"/>
  <c r="J58"/>
  <c r="I58"/>
  <c r="H58"/>
  <c r="F58"/>
  <c r="D58"/>
  <c r="B58"/>
  <c r="M57"/>
  <c r="N57" s="1"/>
  <c r="K57"/>
  <c r="J57"/>
  <c r="I57"/>
  <c r="H57"/>
  <c r="F57"/>
  <c r="D57"/>
  <c r="B57"/>
  <c r="M56"/>
  <c r="N56" s="1"/>
  <c r="K56"/>
  <c r="J56"/>
  <c r="I56"/>
  <c r="H56"/>
  <c r="F56"/>
  <c r="D56"/>
  <c r="B56"/>
  <c r="M55"/>
  <c r="N55" s="1"/>
  <c r="K55"/>
  <c r="J55"/>
  <c r="I55"/>
  <c r="H55"/>
  <c r="F55"/>
  <c r="D55"/>
  <c r="B55"/>
  <c r="M54"/>
  <c r="N54" s="1"/>
  <c r="K54"/>
  <c r="J54"/>
  <c r="I54"/>
  <c r="H54"/>
  <c r="F54"/>
  <c r="D54"/>
  <c r="B54"/>
  <c r="M53"/>
  <c r="N53" s="1"/>
  <c r="K53"/>
  <c r="J53"/>
  <c r="I53"/>
  <c r="H53"/>
  <c r="F53"/>
  <c r="D53"/>
  <c r="B53"/>
  <c r="M52"/>
  <c r="N52" s="1"/>
  <c r="K52"/>
  <c r="J52"/>
  <c r="I52"/>
  <c r="H52"/>
  <c r="F52"/>
  <c r="D52"/>
  <c r="B52"/>
  <c r="M51"/>
  <c r="N51" s="1"/>
  <c r="K51"/>
  <c r="J51"/>
  <c r="I51"/>
  <c r="H51"/>
  <c r="F51"/>
  <c r="D51"/>
  <c r="B51"/>
  <c r="M50"/>
  <c r="N50" s="1"/>
  <c r="K50"/>
  <c r="J50"/>
  <c r="I50"/>
  <c r="H50"/>
  <c r="F50"/>
  <c r="D50"/>
  <c r="B50"/>
  <c r="M49"/>
  <c r="N49" s="1"/>
  <c r="K49"/>
  <c r="J49"/>
  <c r="I49"/>
  <c r="H49"/>
  <c r="F49"/>
  <c r="D49"/>
  <c r="B49"/>
  <c r="M48"/>
  <c r="N48" s="1"/>
  <c r="K48"/>
  <c r="J48"/>
  <c r="I48"/>
  <c r="H48"/>
  <c r="F48"/>
  <c r="D48"/>
  <c r="B48"/>
  <c r="K38"/>
  <c r="M38" s="1"/>
  <c r="N38" s="1"/>
  <c r="I38"/>
  <c r="J38" s="1"/>
  <c r="H38"/>
  <c r="F38"/>
  <c r="D38"/>
  <c r="B38"/>
  <c r="O38" s="1"/>
  <c r="K37"/>
  <c r="M37" s="1"/>
  <c r="N37" s="1"/>
  <c r="I37"/>
  <c r="J37" s="1"/>
  <c r="H37"/>
  <c r="F37"/>
  <c r="D37"/>
  <c r="B37"/>
  <c r="O37" s="1"/>
  <c r="K36"/>
  <c r="M36" s="1"/>
  <c r="N36" s="1"/>
  <c r="I36"/>
  <c r="J36" s="1"/>
  <c r="H36"/>
  <c r="F36"/>
  <c r="D36"/>
  <c r="B36"/>
  <c r="O36" s="1"/>
  <c r="K35"/>
  <c r="M35" s="1"/>
  <c r="N35" s="1"/>
  <c r="I35"/>
  <c r="J35" s="1"/>
  <c r="H35"/>
  <c r="F35"/>
  <c r="D35"/>
  <c r="B35"/>
  <c r="O35" s="1"/>
  <c r="K34"/>
  <c r="M34" s="1"/>
  <c r="N34" s="1"/>
  <c r="I34"/>
  <c r="J34" s="1"/>
  <c r="H34"/>
  <c r="F34"/>
  <c r="D34"/>
  <c r="B34"/>
  <c r="O34" s="1"/>
  <c r="K33"/>
  <c r="M33" s="1"/>
  <c r="N33" s="1"/>
  <c r="I33"/>
  <c r="J33" s="1"/>
  <c r="H33"/>
  <c r="F33"/>
  <c r="D33"/>
  <c r="B33"/>
  <c r="O33" s="1"/>
  <c r="B32"/>
  <c r="K31"/>
  <c r="M31" s="1"/>
  <c r="N31" s="1"/>
  <c r="I31"/>
  <c r="J31" s="1"/>
  <c r="H31"/>
  <c r="F31"/>
  <c r="D31"/>
  <c r="B31"/>
  <c r="O31" s="1"/>
  <c r="K30"/>
  <c r="M30" s="1"/>
  <c r="N30" s="1"/>
  <c r="I30"/>
  <c r="J30" s="1"/>
  <c r="H30"/>
  <c r="F30"/>
  <c r="D30"/>
  <c r="B30"/>
  <c r="O30" s="1"/>
  <c r="K29"/>
  <c r="M29" s="1"/>
  <c r="N29" s="1"/>
  <c r="I29"/>
  <c r="J29" s="1"/>
  <c r="H29"/>
  <c r="F29"/>
  <c r="D29"/>
  <c r="B29"/>
  <c r="K28"/>
  <c r="M28" s="1"/>
  <c r="N28" s="1"/>
  <c r="I28"/>
  <c r="J28" s="1"/>
  <c r="H28"/>
  <c r="F28"/>
  <c r="D28"/>
  <c r="B28"/>
  <c r="O28" s="1"/>
  <c r="K27"/>
  <c r="M27" s="1"/>
  <c r="N27" s="1"/>
  <c r="I27"/>
  <c r="J27" s="1"/>
  <c r="H27"/>
  <c r="F27"/>
  <c r="D27"/>
  <c r="B27"/>
  <c r="N23"/>
  <c r="I23"/>
  <c r="H23"/>
  <c r="K23"/>
  <c r="J23"/>
  <c r="B23"/>
  <c r="F23"/>
  <c r="D23"/>
  <c r="D9"/>
  <c r="D10"/>
  <c r="D8"/>
  <c r="B10"/>
  <c r="F10"/>
  <c r="H10"/>
  <c r="J10"/>
  <c r="K10"/>
  <c r="L10"/>
  <c r="M10" s="1"/>
  <c r="N10" s="1"/>
  <c r="L9"/>
  <c r="M9" s="1"/>
  <c r="N9" s="1"/>
  <c r="K9"/>
  <c r="K8"/>
  <c r="M8" s="1"/>
  <c r="N8" s="1"/>
  <c r="L8"/>
  <c r="N4"/>
  <c r="J9"/>
  <c r="J8"/>
  <c r="H9"/>
  <c r="F9"/>
  <c r="B9"/>
  <c r="H8"/>
  <c r="F8"/>
  <c r="B8"/>
  <c r="O10" l="1"/>
  <c r="O72"/>
  <c r="O76"/>
  <c r="O77"/>
  <c r="O78"/>
  <c r="O79"/>
  <c r="O80"/>
  <c r="O69"/>
  <c r="O70"/>
  <c r="O71"/>
  <c r="O27"/>
  <c r="O29"/>
  <c r="O98"/>
  <c r="O99"/>
  <c r="O100"/>
  <c r="O101"/>
  <c r="O102"/>
  <c r="O103"/>
  <c r="O104"/>
  <c r="O105"/>
  <c r="O106"/>
  <c r="O107"/>
  <c r="O108"/>
  <c r="O109"/>
  <c r="O75"/>
  <c r="O48"/>
  <c r="O49"/>
  <c r="O50"/>
  <c r="O51"/>
  <c r="O52"/>
  <c r="O53"/>
  <c r="O54"/>
  <c r="O55"/>
  <c r="O56"/>
  <c r="O57"/>
  <c r="O58"/>
  <c r="O59"/>
  <c r="O23"/>
  <c r="O8"/>
  <c r="O9"/>
</calcChain>
</file>

<file path=xl/sharedStrings.xml><?xml version="1.0" encoding="utf-8"?>
<sst xmlns="http://schemas.openxmlformats.org/spreadsheetml/2006/main" count="71" uniqueCount="56">
  <si>
    <t>Kaufman (2009, Geomorphology) after Dreybrodt (1996, WRR)</t>
  </si>
  <si>
    <t>constant</t>
  </si>
  <si>
    <t>d</t>
  </si>
  <si>
    <t>tube diameter (m)</t>
  </si>
  <si>
    <r>
      <t>d</t>
    </r>
    <r>
      <rPr>
        <vertAlign val="superscript"/>
        <sz val="11"/>
        <color theme="1"/>
        <rFont val="Calibri"/>
        <family val="2"/>
        <scheme val="minor"/>
      </rPr>
      <t>-3</t>
    </r>
  </si>
  <si>
    <t>l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</si>
  <si>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</si>
  <si>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length (m)</t>
  </si>
  <si>
    <t>head loss (m)</t>
  </si>
  <si>
    <r>
      <t>(l)</t>
    </r>
    <r>
      <rPr>
        <vertAlign val="superscript"/>
        <sz val="11"/>
        <color theme="1"/>
        <rFont val="Calibri"/>
        <family val="2"/>
        <scheme val="minor"/>
      </rPr>
      <t>8/3</t>
    </r>
  </si>
  <si>
    <r>
      <t>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h)</t>
    </r>
    <r>
      <rPr>
        <vertAlign val="superscript"/>
        <sz val="11"/>
        <color theme="1"/>
        <rFont val="Calibri"/>
        <family val="2"/>
        <scheme val="minor"/>
      </rPr>
      <t>-4/3</t>
    </r>
  </si>
  <si>
    <r>
      <t>C</t>
    </r>
    <r>
      <rPr>
        <vertAlign val="subscript"/>
        <sz val="11"/>
        <color theme="1"/>
        <rFont val="Calibri"/>
        <family val="2"/>
        <scheme val="minor"/>
      </rPr>
      <t>eq</t>
    </r>
  </si>
  <si>
    <r>
      <t>(C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-4/3</t>
    </r>
  </si>
  <si>
    <r>
      <t>equilibrium Ca concentration (moles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</si>
  <si>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t>Minimum</t>
  </si>
  <si>
    <t>Maximum</t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</si>
  <si>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</si>
  <si>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(k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0.33</t>
    </r>
  </si>
  <si>
    <r>
      <t>rate constant (mol 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</si>
  <si>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k'</t>
    </r>
    <r>
      <rPr>
        <vertAlign val="subscript"/>
        <sz val="11"/>
        <color theme="1"/>
        <rFont val="Calibri"/>
        <family val="2"/>
        <scheme val="minor"/>
      </rPr>
      <t>1</t>
    </r>
  </si>
  <si>
    <t>D</t>
  </si>
  <si>
    <t>d(t)</t>
  </si>
  <si>
    <t>diffusion</t>
  </si>
  <si>
    <t xml:space="preserve"> coefficient</t>
  </si>
  <si>
    <t>fracture</t>
  </si>
  <si>
    <t>diameter</t>
  </si>
  <si>
    <t>equilibrium concentration</t>
  </si>
  <si>
    <r>
      <t>diffusion coefficient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</si>
  <si>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slow rate constant (mol 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</si>
  <si>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Breakthrough time (all calculations for 10 degrees C)</t>
  </si>
  <si>
    <r>
      <t>T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(years)</t>
    </r>
  </si>
  <si>
    <t>Middling Ket al 2010)</t>
  </si>
  <si>
    <t>Increasing length</t>
  </si>
  <si>
    <t>Increasing diameter</t>
  </si>
  <si>
    <t>Equilibrium Ca concentration</t>
  </si>
  <si>
    <t>Diameter in mm</t>
  </si>
  <si>
    <t>Dreybrodt (1996)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</si>
  <si>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h/I</t>
    </r>
  </si>
  <si>
    <t>i is the hydraulic</t>
  </si>
  <si>
    <t>gradient</t>
  </si>
  <si>
    <t>This is in good agreement with Dreybrodt (1996) Figure 3a allowing for having to estimate values for n1 and n2 within the range given</t>
  </si>
  <si>
    <t>These numbers don't seem to work.</t>
  </si>
  <si>
    <t>tube diameter (cm)</t>
  </si>
  <si>
    <t>length (cm)</t>
  </si>
  <si>
    <t>hydraulic gradient</t>
  </si>
  <si>
    <t>i</t>
  </si>
  <si>
    <r>
      <t>(i)</t>
    </r>
    <r>
      <rPr>
        <vertAlign val="superscript"/>
        <sz val="11"/>
        <color theme="1"/>
        <rFont val="Calibri"/>
        <family val="2"/>
        <scheme val="minor"/>
      </rPr>
      <t>-4/3</t>
    </r>
  </si>
  <si>
    <r>
      <t>(l)</t>
    </r>
    <r>
      <rPr>
        <vertAlign val="superscript"/>
        <sz val="11"/>
        <color theme="1"/>
        <rFont val="Calibri"/>
        <family val="2"/>
        <scheme val="minor"/>
      </rPr>
      <t>4/3</t>
    </r>
  </si>
  <si>
    <r>
      <t>k</t>
    </r>
    <r>
      <rPr>
        <vertAlign val="subscript"/>
        <sz val="11"/>
        <color theme="1"/>
        <rFont val="Calibri"/>
        <family val="2"/>
        <scheme val="minor"/>
      </rPr>
      <t>n1</t>
    </r>
  </si>
  <si>
    <r>
      <t>c</t>
    </r>
    <r>
      <rPr>
        <vertAlign val="subscript"/>
        <sz val="11"/>
        <color theme="1"/>
        <rFont val="Calibri"/>
        <family val="2"/>
        <scheme val="minor"/>
      </rPr>
      <t>s</t>
    </r>
  </si>
  <si>
    <r>
      <t>k</t>
    </r>
    <r>
      <rPr>
        <vertAlign val="subscript"/>
        <sz val="11"/>
        <color theme="1"/>
        <rFont val="Calibri"/>
        <family val="2"/>
        <scheme val="minor"/>
      </rPr>
      <t>n2</t>
    </r>
  </si>
  <si>
    <r>
      <t>(k</t>
    </r>
    <r>
      <rPr>
        <vertAlign val="subscript"/>
        <sz val="11"/>
        <color theme="1"/>
        <rFont val="Calibri"/>
        <family val="2"/>
        <scheme val="minor"/>
      </rPr>
      <t>n2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0.33</t>
    </r>
  </si>
  <si>
    <t>Hydraulic gradient</t>
  </si>
  <si>
    <t>Caeq moles/litre</t>
  </si>
  <si>
    <t>These were the results obtained from Dreybrodt (1996)</t>
  </si>
  <si>
    <t>This should be 19000 in Kaufman 2009</t>
  </si>
</sst>
</file>

<file path=xl/styles.xml><?xml version="1.0" encoding="utf-8"?>
<styleSheet xmlns="http://schemas.openxmlformats.org/spreadsheetml/2006/main">
  <numFmts count="2">
    <numFmt numFmtId="165" formatCode="0.0"/>
    <numFmt numFmtId="169" formatCode="0.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1" fontId="0" fillId="0" borderId="0" xfId="0" applyNumberFormat="1"/>
    <xf numFmtId="165" fontId="0" fillId="0" borderId="0" xfId="0" applyNumberFormat="1"/>
    <xf numFmtId="169" fontId="0" fillId="0" borderId="0" xfId="0" applyNumberFormat="1"/>
    <xf numFmtId="0" fontId="1" fillId="0" borderId="0" xfId="0" applyFont="1"/>
    <xf numFmtId="11" fontId="1" fillId="0" borderId="0" xfId="0" applyNumberFormat="1" applyFont="1"/>
    <xf numFmtId="1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11" fontId="0" fillId="0" borderId="0" xfId="0" applyNumberFormat="1" applyBorder="1"/>
    <xf numFmtId="11" fontId="1" fillId="0" borderId="0" xfId="0" applyNumberFormat="1" applyFont="1" applyBorder="1"/>
    <xf numFmtId="1" fontId="1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/>
    <xf numFmtId="0" fontId="1" fillId="0" borderId="7" xfId="0" applyFont="1" applyBorder="1"/>
    <xf numFmtId="0" fontId="5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15048786840575"/>
          <c:y val="7.8478372144893435E-2"/>
          <c:w val="0.70085192475940505"/>
          <c:h val="0.75595816383979197"/>
        </c:manualLayout>
      </c:layout>
      <c:scatterChart>
        <c:scatterStyle val="lineMarker"/>
        <c:ser>
          <c:idx val="0"/>
          <c:order val="0"/>
          <c:marker>
            <c:symbol val="none"/>
          </c:marker>
          <c:dPt>
            <c:idx val="5"/>
            <c:marker>
              <c:symbol val="diamond"/>
              <c:size val="12"/>
            </c:marker>
          </c:dPt>
          <c:dPt>
            <c:idx val="8"/>
            <c:marker>
              <c:symbol val="none"/>
            </c:marker>
          </c:dPt>
          <c:xVal>
            <c:numRef>
              <c:f>Sheet1!$P$27:$P$38</c:f>
              <c:numCache>
                <c:formatCode>General</c:formatCode>
                <c:ptCount val="12"/>
                <c:pt idx="0">
                  <c:v>150</c:v>
                </c:pt>
                <c:pt idx="1">
                  <c:v>350</c:v>
                </c:pt>
                <c:pt idx="2">
                  <c:v>550</c:v>
                </c:pt>
                <c:pt idx="3">
                  <c:v>700</c:v>
                </c:pt>
                <c:pt idx="4">
                  <c:v>850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</c:numCache>
            </c:numRef>
          </c:xVal>
          <c:yVal>
            <c:numRef>
              <c:f>Sheet1!$O$27:$O$38</c:f>
              <c:numCache>
                <c:formatCode>0</c:formatCode>
                <c:ptCount val="12"/>
                <c:pt idx="0">
                  <c:v>1392.8418862514798</c:v>
                </c:pt>
                <c:pt idx="1">
                  <c:v>4310.5980920714082</c:v>
                </c:pt>
                <c:pt idx="2">
                  <c:v>7875.2386940480665</c:v>
                </c:pt>
                <c:pt idx="3">
                  <c:v>10862.026547674899</c:v>
                </c:pt>
                <c:pt idx="4">
                  <c:v>14071.445323409383</c:v>
                </c:pt>
                <c:pt idx="5">
                  <c:v>17476.191966630064</c:v>
                </c:pt>
                <c:pt idx="6">
                  <c:v>19844.358007155555</c:v>
                </c:pt>
                <c:pt idx="7">
                  <c:v>22285.470180023687</c:v>
                </c:pt>
                <c:pt idx="8">
                  <c:v>24795.408996006641</c:v>
                </c:pt>
                <c:pt idx="9">
                  <c:v>27370.591783865053</c:v>
                </c:pt>
                <c:pt idx="10">
                  <c:v>30007.868774696326</c:v>
                </c:pt>
                <c:pt idx="11">
                  <c:v>32704.444996377249</c:v>
                </c:pt>
              </c:numCache>
            </c:numRef>
          </c:yVal>
        </c:ser>
        <c:axId val="112741760"/>
        <c:axId val="112740224"/>
      </c:scatterChart>
      <c:valAx>
        <c:axId val="112741760"/>
        <c:scaling>
          <c:orientation val="minMax"/>
          <c:max val="15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Length of tube (m)</a:t>
                </a:r>
              </a:p>
            </c:rich>
          </c:tx>
          <c:layout/>
        </c:title>
        <c:numFmt formatCode="General" sourceLinked="1"/>
        <c:tickLblPos val="nextTo"/>
        <c:crossAx val="112740224"/>
        <c:crosses val="autoZero"/>
        <c:crossBetween val="midCat"/>
      </c:valAx>
      <c:valAx>
        <c:axId val="112740224"/>
        <c:scaling>
          <c:orientation val="minMax"/>
          <c:max val="500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Breaktrhough time (years)</a:t>
                </a:r>
              </a:p>
            </c:rich>
          </c:tx>
          <c:layout/>
        </c:title>
        <c:numFmt formatCode="General" sourceLinked="0"/>
        <c:tickLblPos val="nextTo"/>
        <c:crossAx val="112741760"/>
        <c:crosses val="autoZero"/>
        <c:crossBetween val="midCat"/>
        <c:majorUnit val="10000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15048786840581"/>
          <c:y val="7.8478372144893435E-2"/>
          <c:w val="0.70085192475940505"/>
          <c:h val="0.7559581638397922"/>
        </c:manualLayout>
      </c:layout>
      <c:scatterChart>
        <c:scatterStyle val="lineMarker"/>
        <c:ser>
          <c:idx val="0"/>
          <c:order val="0"/>
          <c:marker>
            <c:symbol val="none"/>
          </c:marker>
          <c:dPt>
            <c:idx val="3"/>
            <c:marker>
              <c:symbol val="none"/>
            </c:marker>
          </c:dPt>
          <c:dPt>
            <c:idx val="5"/>
            <c:marker>
              <c:symbol val="diamond"/>
              <c:size val="12"/>
            </c:marker>
          </c:dPt>
          <c:xVal>
            <c:numRef>
              <c:f>Sheet1!$Q$48:$Q$59</c:f>
              <c:numCache>
                <c:formatCode>General</c:formatCode>
                <c:ptCount val="12"/>
                <c:pt idx="0">
                  <c:v>0.15</c:v>
                </c:pt>
                <c:pt idx="1">
                  <c:v>0.2</c:v>
                </c:pt>
                <c:pt idx="2">
                  <c:v>0.25</c:v>
                </c:pt>
                <c:pt idx="3">
                  <c:v>0.3</c:v>
                </c:pt>
                <c:pt idx="4">
                  <c:v>0.35000000000000003</c:v>
                </c:pt>
                <c:pt idx="5">
                  <c:v>0.4</c:v>
                </c:pt>
                <c:pt idx="6">
                  <c:v>0.55000000000000004</c:v>
                </c:pt>
                <c:pt idx="7">
                  <c:v>0.70000000000000007</c:v>
                </c:pt>
                <c:pt idx="8">
                  <c:v>0.8</c:v>
                </c:pt>
                <c:pt idx="9">
                  <c:v>0.89999999999999991</c:v>
                </c:pt>
                <c:pt idx="10">
                  <c:v>1</c:v>
                </c:pt>
                <c:pt idx="11">
                  <c:v>2</c:v>
                </c:pt>
              </c:numCache>
            </c:numRef>
          </c:xVal>
          <c:yVal>
            <c:numRef>
              <c:f>Sheet1!$O$48:$O$59</c:f>
              <c:numCache>
                <c:formatCode>0</c:formatCode>
                <c:ptCount val="12"/>
                <c:pt idx="0">
                  <c:v>331400.38099683676</c:v>
                </c:pt>
                <c:pt idx="1">
                  <c:v>139809.53573304051</c:v>
                </c:pt>
                <c:pt idx="2">
                  <c:v>71582.482295316717</c:v>
                </c:pt>
                <c:pt idx="3">
                  <c:v>41425.047624604595</c:v>
                </c:pt>
                <c:pt idx="4">
                  <c:v>26086.910457476941</c:v>
                </c:pt>
                <c:pt idx="5">
                  <c:v>17476.191966630064</c:v>
                </c:pt>
                <c:pt idx="6">
                  <c:v>6722.6223042183274</c:v>
                </c:pt>
                <c:pt idx="7">
                  <c:v>3260.8638071846176</c:v>
                </c:pt>
                <c:pt idx="8">
                  <c:v>2184.523995828758</c:v>
                </c:pt>
                <c:pt idx="9">
                  <c:v>1534.2610231335034</c:v>
                </c:pt>
                <c:pt idx="10">
                  <c:v>1118.4762858643237</c:v>
                </c:pt>
                <c:pt idx="11">
                  <c:v>139.80953573304046</c:v>
                </c:pt>
              </c:numCache>
            </c:numRef>
          </c:yVal>
        </c:ser>
        <c:axId val="135472256"/>
        <c:axId val="135474176"/>
      </c:scatterChart>
      <c:valAx>
        <c:axId val="135472256"/>
        <c:scaling>
          <c:orientation val="minMax"/>
          <c:max val="2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Diameter</a:t>
                </a:r>
                <a:r>
                  <a:rPr lang="en-US" baseline="0"/>
                  <a:t> </a:t>
                </a:r>
                <a:r>
                  <a:rPr lang="en-US"/>
                  <a:t>of tube (mm)</a:t>
                </a:r>
              </a:p>
            </c:rich>
          </c:tx>
          <c:layout>
            <c:manualLayout>
              <c:xMode val="edge"/>
              <c:yMode val="edge"/>
              <c:x val="0.32576979022660335"/>
              <c:y val="0.92767133518751121"/>
            </c:manualLayout>
          </c:layout>
        </c:title>
        <c:numFmt formatCode="General" sourceLinked="1"/>
        <c:tickLblPos val="nextTo"/>
        <c:crossAx val="135474176"/>
        <c:crosses val="autoZero"/>
        <c:crossBetween val="midCat"/>
      </c:valAx>
      <c:valAx>
        <c:axId val="135474176"/>
        <c:scaling>
          <c:orientation val="minMax"/>
          <c:max val="50000"/>
        </c:scaling>
        <c:axPos val="l"/>
        <c:numFmt formatCode="General" sourceLinked="0"/>
        <c:tickLblPos val="none"/>
        <c:crossAx val="135472256"/>
        <c:crosses val="autoZero"/>
        <c:crossBetween val="midCat"/>
        <c:majorUnit val="10000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15048786840581"/>
          <c:y val="7.8478372144893435E-2"/>
          <c:w val="0.70085192475940505"/>
          <c:h val="0.7559581638397922"/>
        </c:manualLayout>
      </c:layout>
      <c:scatterChart>
        <c:scatterStyle val="lineMarker"/>
        <c:ser>
          <c:idx val="0"/>
          <c:order val="0"/>
          <c:marker>
            <c:symbol val="none"/>
          </c:marker>
          <c:dPt>
            <c:idx val="5"/>
            <c:marker>
              <c:symbol val="diamond"/>
              <c:size val="12"/>
            </c:marker>
          </c:dPt>
          <c:dPt>
            <c:idx val="6"/>
            <c:marker>
              <c:symbol val="none"/>
            </c:marker>
          </c:dPt>
          <c:dPt>
            <c:idx val="8"/>
            <c:marker>
              <c:symbol val="none"/>
            </c:marker>
          </c:dPt>
          <c:xVal>
            <c:numRef>
              <c:f>Sheet1!$G$69:$G$80</c:f>
              <c:numCache>
                <c:formatCode>General</c:formatCode>
                <c:ptCount val="12"/>
                <c:pt idx="0">
                  <c:v>1.4999999999999999E-2</c:v>
                </c:pt>
                <c:pt idx="1">
                  <c:v>0.02</c:v>
                </c:pt>
                <c:pt idx="2">
                  <c:v>2.5000000000000001E-2</c:v>
                </c:pt>
                <c:pt idx="3">
                  <c:v>3.3000000000000002E-2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0.15</c:v>
                </c:pt>
              </c:numCache>
            </c:numRef>
          </c:xVal>
          <c:yVal>
            <c:numRef>
              <c:f>Sheet1!$O$69:$O$80</c:f>
              <c:numCache>
                <c:formatCode>0</c:formatCode>
                <c:ptCount val="12"/>
                <c:pt idx="0">
                  <c:v>87019.877367777968</c:v>
                </c:pt>
                <c:pt idx="1">
                  <c:v>59297.104181518793</c:v>
                </c:pt>
                <c:pt idx="2">
                  <c:v>44037.244261521795</c:v>
                </c:pt>
                <c:pt idx="3">
                  <c:v>30412.694015775756</c:v>
                </c:pt>
                <c:pt idx="4">
                  <c:v>23532.071389102694</c:v>
                </c:pt>
                <c:pt idx="5">
                  <c:v>17476.191966630064</c:v>
                </c:pt>
                <c:pt idx="6">
                  <c:v>13704.771906866741</c:v>
                </c:pt>
                <c:pt idx="7">
                  <c:v>11158.592699283465</c:v>
                </c:pt>
                <c:pt idx="8">
                  <c:v>9338.7087195131062</c:v>
                </c:pt>
                <c:pt idx="9">
                  <c:v>7981.4806743370818</c:v>
                </c:pt>
                <c:pt idx="10">
                  <c:v>6935.4313780566881</c:v>
                </c:pt>
                <c:pt idx="11">
                  <c:v>4039.1049109263154</c:v>
                </c:pt>
              </c:numCache>
            </c:numRef>
          </c:yVal>
        </c:ser>
        <c:axId val="136721152"/>
        <c:axId val="136723840"/>
      </c:scatterChart>
      <c:valAx>
        <c:axId val="136721152"/>
        <c:scaling>
          <c:orientation val="minMax"/>
          <c:max val="0.1500000000000000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Hydraulic gradient</a:t>
                </a:r>
              </a:p>
            </c:rich>
          </c:tx>
          <c:layout/>
        </c:title>
        <c:numFmt formatCode="General" sourceLinked="1"/>
        <c:tickLblPos val="nextTo"/>
        <c:crossAx val="136723840"/>
        <c:crosses val="autoZero"/>
        <c:crossBetween val="midCat"/>
      </c:valAx>
      <c:valAx>
        <c:axId val="136723840"/>
        <c:scaling>
          <c:orientation val="minMax"/>
          <c:max val="5000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Breaktrhough time (years)</a:t>
                </a:r>
              </a:p>
            </c:rich>
          </c:tx>
          <c:layout/>
        </c:title>
        <c:numFmt formatCode="General" sourceLinked="0"/>
        <c:tickLblPos val="nextTo"/>
        <c:crossAx val="136721152"/>
        <c:crosses val="autoZero"/>
        <c:crossBetween val="midCat"/>
        <c:majorUnit val="10000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15048786840592"/>
          <c:y val="7.8478372144893435E-2"/>
          <c:w val="0.70085192475940505"/>
          <c:h val="0.75595816383979264"/>
        </c:manualLayout>
      </c:layout>
      <c:scatterChart>
        <c:scatterStyle val="lineMarker"/>
        <c:ser>
          <c:idx val="0"/>
          <c:order val="0"/>
          <c:marker>
            <c:symbol val="none"/>
          </c:marker>
          <c:dPt>
            <c:idx val="5"/>
            <c:marker>
              <c:symbol val="diamond"/>
              <c:size val="12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xVal>
            <c:numRef>
              <c:f>Sheet1!$S$98:$S$109</c:f>
              <c:numCache>
                <c:formatCode>General</c:formatCode>
                <c:ptCount val="12"/>
                <c:pt idx="0">
                  <c:v>0.79999999999999993</c:v>
                </c:pt>
                <c:pt idx="1">
                  <c:v>1.1000000000000001</c:v>
                </c:pt>
                <c:pt idx="2">
                  <c:v>1.4</c:v>
                </c:pt>
                <c:pt idx="3">
                  <c:v>1.5999999999999999</c:v>
                </c:pt>
                <c:pt idx="4">
                  <c:v>1.7999999999999998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3.1999999999999997</c:v>
                </c:pt>
                <c:pt idx="9">
                  <c:v>3.5999999999999996</c:v>
                </c:pt>
                <c:pt idx="10">
                  <c:v>4</c:v>
                </c:pt>
                <c:pt idx="11">
                  <c:v>4</c:v>
                </c:pt>
              </c:numCache>
            </c:numRef>
          </c:xVal>
          <c:yVal>
            <c:numRef>
              <c:f>Sheet1!$O$98:$O$109</c:f>
              <c:numCache>
                <c:formatCode>0</c:formatCode>
                <c:ptCount val="12"/>
                <c:pt idx="0">
                  <c:v>59297.10418151872</c:v>
                </c:pt>
                <c:pt idx="1">
                  <c:v>38781.97188935148</c:v>
                </c:pt>
                <c:pt idx="2">
                  <c:v>28117.891658060955</c:v>
                </c:pt>
                <c:pt idx="3">
                  <c:v>23532.071389102712</c:v>
                </c:pt>
                <c:pt idx="4">
                  <c:v>20112.071021852815</c:v>
                </c:pt>
                <c:pt idx="5">
                  <c:v>17476.191966630064</c:v>
                </c:pt>
                <c:pt idx="6">
                  <c:v>13704.771906866717</c:v>
                </c:pt>
                <c:pt idx="7">
                  <c:v>11158.592699283467</c:v>
                </c:pt>
                <c:pt idx="8">
                  <c:v>9338.7087195131116</c:v>
                </c:pt>
                <c:pt idx="9">
                  <c:v>7981.4806743370837</c:v>
                </c:pt>
                <c:pt idx="10">
                  <c:v>6935.4313780566736</c:v>
                </c:pt>
                <c:pt idx="11">
                  <c:v>6935.4313780566736</c:v>
                </c:pt>
              </c:numCache>
            </c:numRef>
          </c:yVal>
        </c:ser>
        <c:axId val="127963136"/>
        <c:axId val="128054016"/>
      </c:scatterChart>
      <c:valAx>
        <c:axId val="127963136"/>
        <c:scaling>
          <c:orientation val="minMax"/>
          <c:max val="4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Equilibrium</a:t>
                </a:r>
                <a:r>
                  <a:rPr lang="en-US" baseline="0"/>
                  <a:t> Ca concentration mol m</a:t>
                </a:r>
                <a:r>
                  <a:rPr lang="en-US" baseline="30000"/>
                  <a:t>-3  </a:t>
                </a:r>
                <a:r>
                  <a:rPr lang="en-US" baseline="0"/>
                  <a:t>(= mmol L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</a:p>
            </c:rich>
          </c:tx>
          <c:layout/>
        </c:title>
        <c:numFmt formatCode="General" sourceLinked="1"/>
        <c:tickLblPos val="nextTo"/>
        <c:crossAx val="128054016"/>
        <c:crosses val="autoZero"/>
        <c:crossBetween val="midCat"/>
      </c:valAx>
      <c:valAx>
        <c:axId val="128054016"/>
        <c:scaling>
          <c:orientation val="minMax"/>
          <c:max val="50000"/>
        </c:scaling>
        <c:axPos val="l"/>
        <c:numFmt formatCode="General" sourceLinked="0"/>
        <c:tickLblPos val="none"/>
        <c:crossAx val="127963136"/>
        <c:crosses val="autoZero"/>
        <c:crossBetween val="midCat"/>
        <c:majorUnit val="10000"/>
      </c:valAx>
      <c:spPr>
        <a:ln>
          <a:solidFill>
            <a:schemeClr val="tx1"/>
          </a:solidFill>
        </a:ln>
      </c:spPr>
    </c:plotArea>
    <c:plotVisOnly val="1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1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11" Type="http://schemas.openxmlformats.org/officeDocument/2006/relationships/image" Target="../media/image7.emf"/><Relationship Id="rId5" Type="http://schemas.openxmlformats.org/officeDocument/2006/relationships/chart" Target="../charts/chart3.xml"/><Relationship Id="rId10" Type="http://schemas.openxmlformats.org/officeDocument/2006/relationships/image" Target="../media/image6.emf"/><Relationship Id="rId4" Type="http://schemas.openxmlformats.org/officeDocument/2006/relationships/chart" Target="../charts/chart2.xml"/><Relationship Id="rId9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26919</xdr:colOff>
      <xdr:row>2</xdr:row>
      <xdr:rowOff>152400</xdr:rowOff>
    </xdr:from>
    <xdr:to>
      <xdr:col>6</xdr:col>
      <xdr:colOff>436601</xdr:colOff>
      <xdr:row>5</xdr:row>
      <xdr:rowOff>238125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19" y="533400"/>
          <a:ext cx="4667357" cy="6953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76200</xdr:colOff>
      <xdr:row>3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77075" y="0"/>
          <a:ext cx="1743075" cy="628650"/>
        </a:xfrm>
        <a:prstGeom prst="rect">
          <a:avLst/>
        </a:prstGeom>
        <a:noFill/>
      </xdr:spPr>
    </xdr:pic>
    <xdr:clientData/>
  </xdr:twoCellAnchor>
  <xdr:twoCellAnchor>
    <xdr:from>
      <xdr:col>20</xdr:col>
      <xdr:colOff>200024</xdr:colOff>
      <xdr:row>5</xdr:row>
      <xdr:rowOff>180975</xdr:rowOff>
    </xdr:from>
    <xdr:to>
      <xdr:col>30</xdr:col>
      <xdr:colOff>342899</xdr:colOff>
      <xdr:row>24</xdr:row>
      <xdr:rowOff>561975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161925</xdr:colOff>
      <xdr:row>27</xdr:row>
      <xdr:rowOff>19050</xdr:rowOff>
    </xdr:from>
    <xdr:to>
      <xdr:col>30</xdr:col>
      <xdr:colOff>304800</xdr:colOff>
      <xdr:row>50</xdr:row>
      <xdr:rowOff>152399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133350</xdr:colOff>
      <xdr:row>51</xdr:row>
      <xdr:rowOff>180975</xdr:rowOff>
    </xdr:from>
    <xdr:to>
      <xdr:col>30</xdr:col>
      <xdr:colOff>276225</xdr:colOff>
      <xdr:row>75</xdr:row>
      <xdr:rowOff>123824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323850</xdr:colOff>
      <xdr:row>77</xdr:row>
      <xdr:rowOff>19050</xdr:rowOff>
    </xdr:from>
    <xdr:to>
      <xdr:col>30</xdr:col>
      <xdr:colOff>466725</xdr:colOff>
      <xdr:row>100</xdr:row>
      <xdr:rowOff>152399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0</xdr:colOff>
      <xdr:row>12</xdr:row>
      <xdr:rowOff>152400</xdr:rowOff>
    </xdr:from>
    <xdr:to>
      <xdr:col>8</xdr:col>
      <xdr:colOff>190500</xdr:colOff>
      <xdr:row>20</xdr:row>
      <xdr:rowOff>114300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14475" y="2571750"/>
          <a:ext cx="4486275" cy="1485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14</xdr:col>
      <xdr:colOff>533400</xdr:colOff>
      <xdr:row>18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81800" y="2609850"/>
          <a:ext cx="4448175" cy="105727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0</xdr:colOff>
      <xdr:row>1</xdr:row>
      <xdr:rowOff>0</xdr:rowOff>
    </xdr:from>
    <xdr:to>
      <xdr:col>38</xdr:col>
      <xdr:colOff>594511</xdr:colOff>
      <xdr:row>10</xdr:row>
      <xdr:rowOff>25463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4477" r="9317" b="2191"/>
        <a:stretch>
          <a:fillRect/>
        </a:stretch>
      </xdr:blipFill>
      <xdr:spPr bwMode="auto">
        <a:xfrm>
          <a:off x="23145750" y="190500"/>
          <a:ext cx="3032911" cy="22543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38</xdr:col>
      <xdr:colOff>558297</xdr:colOff>
      <xdr:row>1</xdr:row>
      <xdr:rowOff>45267</xdr:rowOff>
    </xdr:from>
    <xdr:to>
      <xdr:col>43</xdr:col>
      <xdr:colOff>81481</xdr:colOff>
      <xdr:row>10</xdr:row>
      <xdr:rowOff>43570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13958" t="1853" r="11432" b="68431"/>
        <a:stretch>
          <a:fillRect/>
        </a:stretch>
      </xdr:blipFill>
      <xdr:spPr bwMode="auto">
        <a:xfrm>
          <a:off x="26142447" y="235767"/>
          <a:ext cx="2571184" cy="222715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34</xdr:col>
      <xdr:colOff>81483</xdr:colOff>
      <xdr:row>10</xdr:row>
      <xdr:rowOff>115997</xdr:rowOff>
    </xdr:from>
    <xdr:to>
      <xdr:col>38</xdr:col>
      <xdr:colOff>576405</xdr:colOff>
      <xdr:row>22</xdr:row>
      <xdr:rowOff>46210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2102" t="2530" r="12780" b="52138"/>
        <a:stretch>
          <a:fillRect/>
        </a:stretch>
      </xdr:blipFill>
      <xdr:spPr bwMode="auto">
        <a:xfrm>
          <a:off x="23227233" y="2535347"/>
          <a:ext cx="2933322" cy="22543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38</xdr:col>
      <xdr:colOff>567348</xdr:colOff>
      <xdr:row>10</xdr:row>
      <xdr:rowOff>43567</xdr:rowOff>
    </xdr:from>
    <xdr:to>
      <xdr:col>43</xdr:col>
      <xdr:colOff>45265</xdr:colOff>
      <xdr:row>22</xdr:row>
      <xdr:rowOff>28100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16332" t="52262" r="10372" b="1313"/>
        <a:stretch>
          <a:fillRect/>
        </a:stretch>
      </xdr:blipFill>
      <xdr:spPr bwMode="auto">
        <a:xfrm>
          <a:off x="26151498" y="2462917"/>
          <a:ext cx="2525917" cy="230863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9"/>
  <sheetViews>
    <sheetView tabSelected="1" topLeftCell="A47" zoomScaleNormal="100" workbookViewId="0">
      <selection activeCell="G85" sqref="G85"/>
    </sheetView>
  </sheetViews>
  <sheetFormatPr defaultRowHeight="15"/>
  <cols>
    <col min="2" max="2" width="13.5703125" customWidth="1"/>
    <col min="3" max="3" width="9.28515625" bestFit="1" customWidth="1"/>
    <col min="4" max="4" width="11" bestFit="1" customWidth="1"/>
    <col min="5" max="5" width="9.28515625" bestFit="1" customWidth="1"/>
    <col min="6" max="6" width="11.5703125" bestFit="1" customWidth="1"/>
    <col min="7" max="7" width="9.28515625" bestFit="1" customWidth="1"/>
    <col min="8" max="8" width="14" customWidth="1"/>
    <col min="9" max="9" width="14.5703125" customWidth="1"/>
    <col min="10" max="10" width="9.28515625" bestFit="1" customWidth="1"/>
    <col min="11" max="11" width="13" customWidth="1"/>
    <col min="12" max="12" width="12" customWidth="1"/>
    <col min="13" max="13" width="14.28515625" customWidth="1"/>
    <col min="14" max="14" width="10.140625" bestFit="1" customWidth="1"/>
    <col min="15" max="15" width="13" bestFit="1" customWidth="1"/>
  </cols>
  <sheetData>
    <row r="1" spans="1:34">
      <c r="A1" t="s">
        <v>0</v>
      </c>
      <c r="O1" t="s">
        <v>22</v>
      </c>
      <c r="P1" t="s">
        <v>24</v>
      </c>
      <c r="Q1" t="s">
        <v>26</v>
      </c>
      <c r="AH1" t="s">
        <v>54</v>
      </c>
    </row>
    <row r="2" spans="1:34">
      <c r="A2" t="s">
        <v>29</v>
      </c>
      <c r="O2" t="s">
        <v>23</v>
      </c>
      <c r="P2" t="s">
        <v>25</v>
      </c>
    </row>
    <row r="3" spans="1:34" ht="18">
      <c r="N3" t="s">
        <v>19</v>
      </c>
      <c r="P3" t="s">
        <v>21</v>
      </c>
      <c r="Q3" s="2" t="s">
        <v>11</v>
      </c>
    </row>
    <row r="4" spans="1:34">
      <c r="N4" s="4">
        <f>4*10^-7</f>
        <v>3.9999999999999998E-7</v>
      </c>
    </row>
    <row r="6" spans="1:34" s="3" customFormat="1" ht="48.75">
      <c r="C6" s="3" t="s">
        <v>3</v>
      </c>
      <c r="E6" s="3" t="s">
        <v>7</v>
      </c>
      <c r="G6" s="3" t="s">
        <v>8</v>
      </c>
      <c r="I6" s="3" t="s">
        <v>13</v>
      </c>
      <c r="K6" s="3" t="s">
        <v>28</v>
      </c>
      <c r="L6" s="3" t="s">
        <v>27</v>
      </c>
      <c r="M6" s="3" t="s">
        <v>18</v>
      </c>
      <c r="O6" s="3" t="s">
        <v>30</v>
      </c>
    </row>
    <row r="7" spans="1:34" s="2" customFormat="1" ht="18.75">
      <c r="B7" s="2" t="s">
        <v>1</v>
      </c>
      <c r="C7" s="2" t="s">
        <v>2</v>
      </c>
      <c r="D7" s="2" t="s">
        <v>4</v>
      </c>
      <c r="E7" s="2" t="s">
        <v>5</v>
      </c>
      <c r="F7" s="2" t="s">
        <v>9</v>
      </c>
      <c r="G7" s="2" t="s">
        <v>6</v>
      </c>
      <c r="H7" s="2" t="s">
        <v>10</v>
      </c>
      <c r="I7" s="2" t="s">
        <v>11</v>
      </c>
      <c r="J7" s="2" t="s">
        <v>12</v>
      </c>
      <c r="K7" t="s">
        <v>19</v>
      </c>
      <c r="L7" t="s">
        <v>20</v>
      </c>
      <c r="M7" s="2" t="s">
        <v>16</v>
      </c>
      <c r="N7" s="2" t="s">
        <v>17</v>
      </c>
    </row>
    <row r="8" spans="1:34">
      <c r="A8" t="s">
        <v>14</v>
      </c>
      <c r="B8">
        <f>1.77*10^-8</f>
        <v>1.77E-8</v>
      </c>
      <c r="C8">
        <v>5.0000000000000001E-4</v>
      </c>
      <c r="D8">
        <f>C8^(-3)</f>
        <v>7999999999.999999</v>
      </c>
      <c r="E8">
        <v>1000</v>
      </c>
      <c r="F8">
        <f>E8^(8/3)</f>
        <v>99999999.999999821</v>
      </c>
      <c r="G8">
        <v>10</v>
      </c>
      <c r="H8">
        <f>G8^(-4/3)</f>
        <v>4.6415888336127781E-2</v>
      </c>
      <c r="I8">
        <v>2</v>
      </c>
      <c r="J8">
        <f>I8^(-4/3)</f>
        <v>0.39685026299204995</v>
      </c>
      <c r="K8" s="4">
        <f>4*10^-7</f>
        <v>3.9999999999999998E-7</v>
      </c>
      <c r="L8" s="4">
        <f>10^-9</f>
        <v>1.0000000000000001E-9</v>
      </c>
      <c r="M8" s="4">
        <f>K8/(1+K8*C8/6/L8/I8)</f>
        <v>3.9344262295081967E-7</v>
      </c>
      <c r="N8" s="4">
        <f>M8^0.33</f>
        <v>7.6968117424520621E-3</v>
      </c>
      <c r="O8" s="5">
        <f>B8*D8*F8*H8*J8*N8</f>
        <v>2007555.0203995367</v>
      </c>
    </row>
    <row r="9" spans="1:34">
      <c r="A9" t="s">
        <v>15</v>
      </c>
      <c r="B9">
        <f>1.77*10^-8</f>
        <v>1.77E-8</v>
      </c>
      <c r="C9">
        <v>1E-3</v>
      </c>
      <c r="D9">
        <f t="shared" ref="D9:D10" si="0">C9^(-3)</f>
        <v>999999999.99999988</v>
      </c>
      <c r="E9">
        <v>100</v>
      </c>
      <c r="F9">
        <f>E9^(8/3)</f>
        <v>215443.46900318863</v>
      </c>
      <c r="G9">
        <v>100</v>
      </c>
      <c r="H9">
        <f>G9^(-4/3)</f>
        <v>2.1544346900318825E-3</v>
      </c>
      <c r="I9">
        <v>4</v>
      </c>
      <c r="J9">
        <f>I9^(-4/3)</f>
        <v>0.15749013123685915</v>
      </c>
      <c r="K9" s="4">
        <f>4*10^-7</f>
        <v>3.9999999999999998E-7</v>
      </c>
      <c r="L9" s="4">
        <f>10^-9</f>
        <v>1.0000000000000001E-9</v>
      </c>
      <c r="M9" s="4">
        <f>K9/(1+K9*C9/6/L9/I9)</f>
        <v>3.9344262295081967E-7</v>
      </c>
      <c r="N9" s="4">
        <f>M9^0.33</f>
        <v>7.6968117424520621E-3</v>
      </c>
      <c r="O9" s="6">
        <f>B9*D9*F9*H9*J9*N9</f>
        <v>9.9587342227071023</v>
      </c>
    </row>
    <row r="10" spans="1:34">
      <c r="A10" t="s">
        <v>31</v>
      </c>
      <c r="B10">
        <f t="shared" ref="B10:B38" si="1">1.77*10^-8</f>
        <v>1.77E-8</v>
      </c>
      <c r="C10" s="7">
        <v>5.0000000000000001E-4</v>
      </c>
      <c r="D10">
        <f t="shared" si="0"/>
        <v>7999999999.999999</v>
      </c>
      <c r="E10" s="7">
        <v>1000</v>
      </c>
      <c r="F10">
        <f t="shared" ref="F10" si="2">E10^(8/3)</f>
        <v>99999999.999999821</v>
      </c>
      <c r="G10" s="7">
        <v>10</v>
      </c>
      <c r="H10">
        <f t="shared" ref="H10" si="3">G10^(-4/3)</f>
        <v>4.6415888336127781E-2</v>
      </c>
      <c r="I10" s="7">
        <v>2</v>
      </c>
      <c r="J10">
        <f t="shared" ref="J10" si="4">I10^(-4/3)</f>
        <v>0.39685026299204995</v>
      </c>
      <c r="K10" s="4">
        <f t="shared" ref="K10:K38" si="5">4*10^-7</f>
        <v>3.9999999999999998E-7</v>
      </c>
      <c r="L10" s="4">
        <f t="shared" ref="L10:L38" si="6">10^-9</f>
        <v>1.0000000000000001E-9</v>
      </c>
      <c r="M10" s="8">
        <f t="shared" ref="M10" si="7">K10/(1+K10*C10/6/L10/I10)</f>
        <v>3.9344262295081967E-7</v>
      </c>
      <c r="N10" s="4">
        <f t="shared" ref="N10" si="8">M10^0.33</f>
        <v>7.6968117424520621E-3</v>
      </c>
      <c r="O10" s="9">
        <f>B10*D10*F10*H10*J10*N10</f>
        <v>2007555.0203995367</v>
      </c>
      <c r="P10" t="s">
        <v>55</v>
      </c>
    </row>
    <row r="11" spans="1:34">
      <c r="A11" s="7" t="s">
        <v>41</v>
      </c>
      <c r="B11" s="7"/>
      <c r="C11" s="7"/>
    </row>
    <row r="13" spans="1:34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</row>
    <row r="14" spans="1:34">
      <c r="A14" s="24" t="s">
        <v>36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34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3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9">
      <c r="A17" s="13" t="s">
        <v>38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1:19">
      <c r="A18" s="13" t="s">
        <v>39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9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pans="1:19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1:19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1:19" ht="18">
      <c r="A22" s="13"/>
      <c r="B22" s="14"/>
      <c r="C22" s="14"/>
      <c r="D22" s="14"/>
      <c r="E22" s="14"/>
      <c r="F22" s="14"/>
      <c r="G22" s="16" t="s">
        <v>37</v>
      </c>
      <c r="H22" s="14"/>
      <c r="I22" s="14"/>
      <c r="J22" s="14"/>
      <c r="K22" s="14" t="s">
        <v>48</v>
      </c>
      <c r="L22" s="14" t="s">
        <v>49</v>
      </c>
      <c r="M22" s="14" t="s">
        <v>50</v>
      </c>
      <c r="N22" s="14"/>
      <c r="O22" s="15"/>
    </row>
    <row r="23" spans="1:19">
      <c r="A23" s="13" t="s">
        <v>31</v>
      </c>
      <c r="B23" s="14">
        <f>9*10^-14</f>
        <v>8.9999999999999995E-14</v>
      </c>
      <c r="C23" s="17">
        <v>0.04</v>
      </c>
      <c r="D23" s="14">
        <f>C23^(-3)</f>
        <v>15624.999999999998</v>
      </c>
      <c r="E23" s="17">
        <v>100000</v>
      </c>
      <c r="F23" s="14">
        <f>E23^(4/3)</f>
        <v>4641588.8336127773</v>
      </c>
      <c r="G23" s="17">
        <v>0.05</v>
      </c>
      <c r="H23" s="14">
        <f>G23^(-4/3)</f>
        <v>54.28835233189811</v>
      </c>
      <c r="I23" s="17">
        <f>2*10^-6</f>
        <v>1.9999999999999999E-6</v>
      </c>
      <c r="J23" s="14">
        <f>I23^(-4/3)</f>
        <v>39685026.299204953</v>
      </c>
      <c r="K23" s="18">
        <f>1.8*10^-10</f>
        <v>1.8E-10</v>
      </c>
      <c r="L23" s="18">
        <v>0.72</v>
      </c>
      <c r="M23" s="19">
        <f>K23*(1-L23)^(1.85-3.55)</f>
        <v>1.5671257684178822E-9</v>
      </c>
      <c r="N23" s="18">
        <f>M23^0.33</f>
        <v>1.2427514287381399E-3</v>
      </c>
      <c r="O23" s="20">
        <f t="shared" ref="O23" si="9">B23*D23*F23*H23*J23*N23</f>
        <v>17476.191966630064</v>
      </c>
    </row>
    <row r="24" spans="1:19">
      <c r="A24" s="21"/>
      <c r="B24" s="22"/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2"/>
      <c r="O24" s="23"/>
    </row>
    <row r="25" spans="1:19" ht="48.75">
      <c r="B25" s="3"/>
      <c r="C25" s="3" t="s">
        <v>42</v>
      </c>
      <c r="D25" s="3"/>
      <c r="E25" s="3" t="s">
        <v>43</v>
      </c>
      <c r="F25" s="3"/>
      <c r="G25" s="3" t="s">
        <v>44</v>
      </c>
      <c r="H25" s="3"/>
      <c r="I25" s="3" t="s">
        <v>13</v>
      </c>
      <c r="J25" s="3"/>
      <c r="K25" s="3"/>
      <c r="L25" s="3"/>
      <c r="M25" s="3"/>
      <c r="N25" s="3"/>
      <c r="O25" s="3" t="s">
        <v>30</v>
      </c>
    </row>
    <row r="26" spans="1:19" ht="46.5">
      <c r="A26" t="s">
        <v>32</v>
      </c>
      <c r="B26" s="2" t="s">
        <v>1</v>
      </c>
      <c r="C26" s="2" t="s">
        <v>2</v>
      </c>
      <c r="D26" s="2" t="s">
        <v>4</v>
      </c>
      <c r="E26" s="2" t="s">
        <v>5</v>
      </c>
      <c r="F26" s="2" t="s">
        <v>47</v>
      </c>
      <c r="G26" s="26" t="s">
        <v>45</v>
      </c>
      <c r="H26" s="2" t="s">
        <v>46</v>
      </c>
      <c r="I26" s="2" t="s">
        <v>11</v>
      </c>
      <c r="J26" s="2" t="s">
        <v>12</v>
      </c>
      <c r="K26" s="14" t="s">
        <v>48</v>
      </c>
      <c r="L26" s="14" t="s">
        <v>49</v>
      </c>
      <c r="M26" s="14" t="s">
        <v>50</v>
      </c>
      <c r="N26" s="2" t="s">
        <v>51</v>
      </c>
      <c r="O26" s="2"/>
      <c r="P26" s="27" t="s">
        <v>7</v>
      </c>
      <c r="Q26" s="1" t="s">
        <v>35</v>
      </c>
      <c r="R26" s="1"/>
      <c r="S26" s="1" t="s">
        <v>53</v>
      </c>
    </row>
    <row r="27" spans="1:19">
      <c r="B27" s="14">
        <f t="shared" ref="B27:B38" si="10">9*10^-14</f>
        <v>8.9999999999999995E-14</v>
      </c>
      <c r="C27" s="17">
        <v>0.04</v>
      </c>
      <c r="D27" s="14">
        <f t="shared" ref="D27:D38" si="11">C27^(-3)</f>
        <v>15624.999999999998</v>
      </c>
      <c r="E27" s="28">
        <v>15000</v>
      </c>
      <c r="F27" s="14">
        <f t="shared" ref="F27:F38" si="12">E27^(4/3)</f>
        <v>369931.81114957016</v>
      </c>
      <c r="G27" s="17">
        <v>0.05</v>
      </c>
      <c r="H27" s="14">
        <f t="shared" ref="H27:H38" si="13">G27^(-4/3)</f>
        <v>54.28835233189811</v>
      </c>
      <c r="I27" s="17">
        <f t="shared" ref="I27:I38" si="14">2*10^-6</f>
        <v>1.9999999999999999E-6</v>
      </c>
      <c r="J27" s="14">
        <f t="shared" ref="J27:J38" si="15">I27^(-4/3)</f>
        <v>39685026.299204953</v>
      </c>
      <c r="K27" s="18">
        <f t="shared" ref="K27:K38" si="16">1.8*10^-10</f>
        <v>1.8E-10</v>
      </c>
      <c r="L27" s="18">
        <v>0.72</v>
      </c>
      <c r="M27" s="19">
        <f t="shared" ref="M27:M38" si="17">K27*(1-L27)^(1.85-3.55)</f>
        <v>1.5671257684178822E-9</v>
      </c>
      <c r="N27" s="18">
        <f t="shared" ref="N27:N38" si="18">M27^0.33</f>
        <v>1.2427514287381399E-3</v>
      </c>
      <c r="O27" s="20">
        <f t="shared" ref="O27:O38" si="19">B27*D27*F27*H27*J27*N27</f>
        <v>1392.8418862514798</v>
      </c>
      <c r="P27">
        <f>E27/100</f>
        <v>150</v>
      </c>
      <c r="Q27">
        <f>C27*10</f>
        <v>0.4</v>
      </c>
      <c r="S27">
        <f>I27*10^6</f>
        <v>2</v>
      </c>
    </row>
    <row r="28" spans="1:19">
      <c r="B28" s="14">
        <f t="shared" si="10"/>
        <v>8.9999999999999995E-14</v>
      </c>
      <c r="C28" s="17">
        <v>0.04</v>
      </c>
      <c r="D28" s="14">
        <f t="shared" si="11"/>
        <v>15624.999999999998</v>
      </c>
      <c r="E28" s="28">
        <v>35000</v>
      </c>
      <c r="F28" s="14">
        <f t="shared" si="12"/>
        <v>1144873.2085660044</v>
      </c>
      <c r="G28" s="17">
        <v>0.05</v>
      </c>
      <c r="H28" s="14">
        <f t="shared" si="13"/>
        <v>54.28835233189811</v>
      </c>
      <c r="I28" s="17">
        <f t="shared" si="14"/>
        <v>1.9999999999999999E-6</v>
      </c>
      <c r="J28" s="14">
        <f t="shared" si="15"/>
        <v>39685026.299204953</v>
      </c>
      <c r="K28" s="18">
        <f t="shared" si="16"/>
        <v>1.8E-10</v>
      </c>
      <c r="L28" s="18">
        <v>0.72</v>
      </c>
      <c r="M28" s="19">
        <f t="shared" si="17"/>
        <v>1.5671257684178822E-9</v>
      </c>
      <c r="N28" s="18">
        <f t="shared" si="18"/>
        <v>1.2427514287381399E-3</v>
      </c>
      <c r="O28" s="20">
        <f t="shared" si="19"/>
        <v>4310.5980920714082</v>
      </c>
      <c r="P28">
        <f t="shared" ref="P28:P38" si="20">E28/100</f>
        <v>350</v>
      </c>
      <c r="Q28">
        <f t="shared" ref="Q28:Q38" si="21">C28*10</f>
        <v>0.4</v>
      </c>
      <c r="S28">
        <f t="shared" ref="S28:S39" si="22">I28*10^6</f>
        <v>2</v>
      </c>
    </row>
    <row r="29" spans="1:19">
      <c r="B29" s="14">
        <f t="shared" si="10"/>
        <v>8.9999999999999995E-14</v>
      </c>
      <c r="C29" s="17">
        <v>0.04</v>
      </c>
      <c r="D29" s="14">
        <f t="shared" si="11"/>
        <v>15624.999999999998</v>
      </c>
      <c r="E29" s="28">
        <v>55000</v>
      </c>
      <c r="F29" s="14">
        <f t="shared" si="12"/>
        <v>2091623.8534187616</v>
      </c>
      <c r="G29" s="17">
        <v>0.05</v>
      </c>
      <c r="H29" s="14">
        <f t="shared" si="13"/>
        <v>54.28835233189811</v>
      </c>
      <c r="I29" s="17">
        <f t="shared" si="14"/>
        <v>1.9999999999999999E-6</v>
      </c>
      <c r="J29" s="14">
        <f t="shared" si="15"/>
        <v>39685026.299204953</v>
      </c>
      <c r="K29" s="18">
        <f t="shared" si="16"/>
        <v>1.8E-10</v>
      </c>
      <c r="L29" s="18">
        <v>0.72</v>
      </c>
      <c r="M29" s="19">
        <f t="shared" si="17"/>
        <v>1.5671257684178822E-9</v>
      </c>
      <c r="N29" s="18">
        <f t="shared" si="18"/>
        <v>1.2427514287381399E-3</v>
      </c>
      <c r="O29" s="20">
        <f t="shared" si="19"/>
        <v>7875.2386940480665</v>
      </c>
      <c r="P29">
        <f t="shared" si="20"/>
        <v>550</v>
      </c>
      <c r="Q29">
        <f t="shared" si="21"/>
        <v>0.4</v>
      </c>
      <c r="S29">
        <f t="shared" si="22"/>
        <v>2</v>
      </c>
    </row>
    <row r="30" spans="1:19">
      <c r="B30" s="14">
        <f t="shared" si="10"/>
        <v>8.9999999999999995E-14</v>
      </c>
      <c r="C30" s="17">
        <v>0.04</v>
      </c>
      <c r="D30" s="14">
        <f t="shared" si="11"/>
        <v>15624.999999999998</v>
      </c>
      <c r="E30" s="28">
        <v>70000</v>
      </c>
      <c r="F30" s="14">
        <f t="shared" si="12"/>
        <v>2884899.7098659868</v>
      </c>
      <c r="G30" s="17">
        <v>0.05</v>
      </c>
      <c r="H30" s="14">
        <f t="shared" si="13"/>
        <v>54.28835233189811</v>
      </c>
      <c r="I30" s="17">
        <f t="shared" si="14"/>
        <v>1.9999999999999999E-6</v>
      </c>
      <c r="J30" s="14">
        <f t="shared" si="15"/>
        <v>39685026.299204953</v>
      </c>
      <c r="K30" s="18">
        <f t="shared" si="16"/>
        <v>1.8E-10</v>
      </c>
      <c r="L30" s="18">
        <v>0.72</v>
      </c>
      <c r="M30" s="19">
        <f t="shared" si="17"/>
        <v>1.5671257684178822E-9</v>
      </c>
      <c r="N30" s="18">
        <f t="shared" si="18"/>
        <v>1.2427514287381399E-3</v>
      </c>
      <c r="O30" s="20">
        <f t="shared" si="19"/>
        <v>10862.026547674899</v>
      </c>
      <c r="P30">
        <f t="shared" si="20"/>
        <v>700</v>
      </c>
      <c r="Q30">
        <f t="shared" si="21"/>
        <v>0.4</v>
      </c>
      <c r="S30">
        <f t="shared" si="22"/>
        <v>2</v>
      </c>
    </row>
    <row r="31" spans="1:19">
      <c r="B31" s="14">
        <f t="shared" si="10"/>
        <v>8.9999999999999995E-14</v>
      </c>
      <c r="C31" s="17">
        <v>0.04</v>
      </c>
      <c r="D31" s="14">
        <f t="shared" si="11"/>
        <v>15624.999999999998</v>
      </c>
      <c r="E31" s="28">
        <v>85000</v>
      </c>
      <c r="F31" s="14">
        <f t="shared" si="12"/>
        <v>3737305.2213344523</v>
      </c>
      <c r="G31" s="17">
        <v>0.05</v>
      </c>
      <c r="H31" s="14">
        <f t="shared" si="13"/>
        <v>54.28835233189811</v>
      </c>
      <c r="I31" s="17">
        <f t="shared" si="14"/>
        <v>1.9999999999999999E-6</v>
      </c>
      <c r="J31" s="14">
        <f t="shared" si="15"/>
        <v>39685026.299204953</v>
      </c>
      <c r="K31" s="18">
        <f t="shared" si="16"/>
        <v>1.8E-10</v>
      </c>
      <c r="L31" s="18">
        <v>0.72</v>
      </c>
      <c r="M31" s="19">
        <f t="shared" si="17"/>
        <v>1.5671257684178822E-9</v>
      </c>
      <c r="N31" s="18">
        <f t="shared" si="18"/>
        <v>1.2427514287381399E-3</v>
      </c>
      <c r="O31" s="20">
        <f t="shared" si="19"/>
        <v>14071.445323409383</v>
      </c>
      <c r="P31">
        <f t="shared" si="20"/>
        <v>850</v>
      </c>
      <c r="Q31">
        <f t="shared" si="21"/>
        <v>0.4</v>
      </c>
      <c r="S31">
        <f t="shared" si="22"/>
        <v>2</v>
      </c>
    </row>
    <row r="32" spans="1:19">
      <c r="B32" s="14">
        <f t="shared" si="10"/>
        <v>8.9999999999999995E-14</v>
      </c>
      <c r="C32" s="17">
        <v>0.04</v>
      </c>
      <c r="D32" s="14">
        <f t="shared" si="11"/>
        <v>15624.999999999998</v>
      </c>
      <c r="E32" s="28">
        <v>100000</v>
      </c>
      <c r="F32" s="14">
        <f t="shared" si="12"/>
        <v>4641588.8336127773</v>
      </c>
      <c r="G32" s="17">
        <v>0.05</v>
      </c>
      <c r="H32" s="14">
        <f t="shared" si="13"/>
        <v>54.28835233189811</v>
      </c>
      <c r="I32" s="17">
        <f t="shared" si="14"/>
        <v>1.9999999999999999E-6</v>
      </c>
      <c r="J32" s="14">
        <f t="shared" si="15"/>
        <v>39685026.299204953</v>
      </c>
      <c r="K32" s="18">
        <f t="shared" si="16"/>
        <v>1.8E-10</v>
      </c>
      <c r="L32" s="18">
        <v>0.72</v>
      </c>
      <c r="M32" s="19">
        <f t="shared" ref="M32" si="23">K32*(1-L32)^(1.85-3.55)</f>
        <v>1.5671257684178822E-9</v>
      </c>
      <c r="N32" s="18">
        <f t="shared" si="18"/>
        <v>1.2427514287381399E-3</v>
      </c>
      <c r="O32" s="20">
        <f t="shared" ref="O32" si="24">B32*D32*F32*H32*J32*N32</f>
        <v>17476.191966630064</v>
      </c>
      <c r="P32">
        <f t="shared" si="20"/>
        <v>1000</v>
      </c>
      <c r="Q32">
        <f t="shared" si="21"/>
        <v>0.4</v>
      </c>
      <c r="S32">
        <f t="shared" si="22"/>
        <v>2</v>
      </c>
    </row>
    <row r="33" spans="1:19">
      <c r="B33" s="14">
        <f t="shared" si="10"/>
        <v>8.9999999999999995E-14</v>
      </c>
      <c r="C33" s="17">
        <v>0.04</v>
      </c>
      <c r="D33" s="14">
        <f t="shared" si="11"/>
        <v>15624.999999999998</v>
      </c>
      <c r="E33" s="28">
        <v>110000</v>
      </c>
      <c r="F33" s="14">
        <f t="shared" si="12"/>
        <v>5270561.8427690566</v>
      </c>
      <c r="G33" s="17">
        <v>0.05</v>
      </c>
      <c r="H33" s="14">
        <f t="shared" si="13"/>
        <v>54.28835233189811</v>
      </c>
      <c r="I33" s="17">
        <f t="shared" si="14"/>
        <v>1.9999999999999999E-6</v>
      </c>
      <c r="J33" s="14">
        <f t="shared" si="15"/>
        <v>39685026.299204953</v>
      </c>
      <c r="K33" s="18">
        <f t="shared" si="16"/>
        <v>1.8E-10</v>
      </c>
      <c r="L33" s="18">
        <v>0.72</v>
      </c>
      <c r="M33" s="19">
        <f t="shared" si="17"/>
        <v>1.5671257684178822E-9</v>
      </c>
      <c r="N33" s="18">
        <f t="shared" si="18"/>
        <v>1.2427514287381399E-3</v>
      </c>
      <c r="O33" s="20">
        <f t="shared" si="19"/>
        <v>19844.358007155555</v>
      </c>
      <c r="P33">
        <f t="shared" si="20"/>
        <v>1100</v>
      </c>
      <c r="Q33">
        <f t="shared" si="21"/>
        <v>0.4</v>
      </c>
      <c r="S33">
        <f t="shared" si="22"/>
        <v>2</v>
      </c>
    </row>
    <row r="34" spans="1:19">
      <c r="B34" s="14">
        <f t="shared" si="10"/>
        <v>8.9999999999999995E-14</v>
      </c>
      <c r="C34" s="17">
        <v>0.04</v>
      </c>
      <c r="D34" s="14">
        <f t="shared" si="11"/>
        <v>15624.999999999998</v>
      </c>
      <c r="E34" s="28">
        <v>120000</v>
      </c>
      <c r="F34" s="14">
        <f t="shared" si="12"/>
        <v>5918908.9783931253</v>
      </c>
      <c r="G34" s="17">
        <v>0.05</v>
      </c>
      <c r="H34" s="14">
        <f t="shared" si="13"/>
        <v>54.28835233189811</v>
      </c>
      <c r="I34" s="17">
        <f t="shared" si="14"/>
        <v>1.9999999999999999E-6</v>
      </c>
      <c r="J34" s="14">
        <f t="shared" si="15"/>
        <v>39685026.299204953</v>
      </c>
      <c r="K34" s="18">
        <f t="shared" si="16"/>
        <v>1.8E-10</v>
      </c>
      <c r="L34" s="18">
        <v>0.72</v>
      </c>
      <c r="M34" s="19">
        <f t="shared" si="17"/>
        <v>1.5671257684178822E-9</v>
      </c>
      <c r="N34" s="18">
        <f t="shared" si="18"/>
        <v>1.2427514287381399E-3</v>
      </c>
      <c r="O34" s="20">
        <f t="shared" si="19"/>
        <v>22285.470180023687</v>
      </c>
      <c r="P34">
        <f t="shared" si="20"/>
        <v>1200</v>
      </c>
      <c r="Q34">
        <f t="shared" si="21"/>
        <v>0.4</v>
      </c>
      <c r="S34">
        <f t="shared" si="22"/>
        <v>2</v>
      </c>
    </row>
    <row r="35" spans="1:19">
      <c r="B35" s="14">
        <f t="shared" si="10"/>
        <v>8.9999999999999995E-14</v>
      </c>
      <c r="C35" s="17">
        <v>0.04</v>
      </c>
      <c r="D35" s="14">
        <f t="shared" si="11"/>
        <v>15624.999999999998</v>
      </c>
      <c r="E35" s="28">
        <v>130000</v>
      </c>
      <c r="F35" s="14">
        <f t="shared" si="12"/>
        <v>6585536.1248311521</v>
      </c>
      <c r="G35" s="17">
        <v>0.05</v>
      </c>
      <c r="H35" s="14">
        <f t="shared" si="13"/>
        <v>54.28835233189811</v>
      </c>
      <c r="I35" s="17">
        <f t="shared" si="14"/>
        <v>1.9999999999999999E-6</v>
      </c>
      <c r="J35" s="14">
        <f t="shared" si="15"/>
        <v>39685026.299204953</v>
      </c>
      <c r="K35" s="18">
        <f t="shared" si="16"/>
        <v>1.8E-10</v>
      </c>
      <c r="L35" s="18">
        <v>0.72</v>
      </c>
      <c r="M35" s="19">
        <f t="shared" si="17"/>
        <v>1.5671257684178822E-9</v>
      </c>
      <c r="N35" s="18">
        <f t="shared" si="18"/>
        <v>1.2427514287381399E-3</v>
      </c>
      <c r="O35" s="20">
        <f t="shared" si="19"/>
        <v>24795.408996006641</v>
      </c>
      <c r="P35">
        <f t="shared" si="20"/>
        <v>1300</v>
      </c>
      <c r="Q35">
        <f t="shared" si="21"/>
        <v>0.4</v>
      </c>
      <c r="S35">
        <f t="shared" si="22"/>
        <v>2</v>
      </c>
    </row>
    <row r="36" spans="1:19">
      <c r="B36" s="14">
        <f t="shared" si="10"/>
        <v>8.9999999999999995E-14</v>
      </c>
      <c r="C36" s="17">
        <v>0.04</v>
      </c>
      <c r="D36" s="14">
        <f t="shared" si="11"/>
        <v>15624.999999999998</v>
      </c>
      <c r="E36" s="28">
        <v>140000</v>
      </c>
      <c r="F36" s="14">
        <f t="shared" si="12"/>
        <v>7269491.7425915301</v>
      </c>
      <c r="G36" s="17">
        <v>0.05</v>
      </c>
      <c r="H36" s="14">
        <f t="shared" si="13"/>
        <v>54.28835233189811</v>
      </c>
      <c r="I36" s="17">
        <f t="shared" si="14"/>
        <v>1.9999999999999999E-6</v>
      </c>
      <c r="J36" s="14">
        <f t="shared" si="15"/>
        <v>39685026.299204953</v>
      </c>
      <c r="K36" s="18">
        <f t="shared" si="16"/>
        <v>1.8E-10</v>
      </c>
      <c r="L36" s="18">
        <v>0.72</v>
      </c>
      <c r="M36" s="19">
        <f t="shared" si="17"/>
        <v>1.5671257684178822E-9</v>
      </c>
      <c r="N36" s="18">
        <f t="shared" si="18"/>
        <v>1.2427514287381399E-3</v>
      </c>
      <c r="O36" s="20">
        <f t="shared" si="19"/>
        <v>27370.591783865053</v>
      </c>
      <c r="P36">
        <f t="shared" si="20"/>
        <v>1400</v>
      </c>
      <c r="Q36">
        <f t="shared" si="21"/>
        <v>0.4</v>
      </c>
      <c r="S36">
        <f t="shared" si="22"/>
        <v>2</v>
      </c>
    </row>
    <row r="37" spans="1:19">
      <c r="B37" s="14">
        <f t="shared" si="10"/>
        <v>8.9999999999999995E-14</v>
      </c>
      <c r="C37" s="17">
        <v>0.04</v>
      </c>
      <c r="D37" s="14">
        <f t="shared" si="11"/>
        <v>15624.999999999998</v>
      </c>
      <c r="E37" s="28">
        <v>150000</v>
      </c>
      <c r="F37" s="14">
        <f t="shared" si="12"/>
        <v>7969939.2688695779</v>
      </c>
      <c r="G37" s="17">
        <v>0.05</v>
      </c>
      <c r="H37" s="14">
        <f t="shared" si="13"/>
        <v>54.28835233189811</v>
      </c>
      <c r="I37" s="17">
        <f t="shared" si="14"/>
        <v>1.9999999999999999E-6</v>
      </c>
      <c r="J37" s="14">
        <f t="shared" si="15"/>
        <v>39685026.299204953</v>
      </c>
      <c r="K37" s="18">
        <f t="shared" si="16"/>
        <v>1.8E-10</v>
      </c>
      <c r="L37" s="18">
        <v>0.72</v>
      </c>
      <c r="M37" s="19">
        <f t="shared" si="17"/>
        <v>1.5671257684178822E-9</v>
      </c>
      <c r="N37" s="18">
        <f t="shared" si="18"/>
        <v>1.2427514287381399E-3</v>
      </c>
      <c r="O37" s="20">
        <f t="shared" si="19"/>
        <v>30007.868774696326</v>
      </c>
      <c r="P37">
        <f t="shared" si="20"/>
        <v>1500</v>
      </c>
      <c r="Q37">
        <f t="shared" si="21"/>
        <v>0.4</v>
      </c>
      <c r="S37">
        <f t="shared" si="22"/>
        <v>2</v>
      </c>
    </row>
    <row r="38" spans="1:19">
      <c r="B38" s="14">
        <f t="shared" si="10"/>
        <v>8.9999999999999995E-14</v>
      </c>
      <c r="C38" s="17">
        <v>0.04</v>
      </c>
      <c r="D38" s="14">
        <f t="shared" si="11"/>
        <v>15624.999999999998</v>
      </c>
      <c r="E38" s="28">
        <v>160000</v>
      </c>
      <c r="F38" s="14">
        <f t="shared" si="12"/>
        <v>8686136.3731036894</v>
      </c>
      <c r="G38" s="17">
        <v>0.05</v>
      </c>
      <c r="H38" s="14">
        <f t="shared" si="13"/>
        <v>54.28835233189811</v>
      </c>
      <c r="I38" s="17">
        <f t="shared" si="14"/>
        <v>1.9999999999999999E-6</v>
      </c>
      <c r="J38" s="14">
        <f t="shared" si="15"/>
        <v>39685026.299204953</v>
      </c>
      <c r="K38" s="18">
        <f t="shared" si="16"/>
        <v>1.8E-10</v>
      </c>
      <c r="L38" s="18">
        <v>0.72</v>
      </c>
      <c r="M38" s="19">
        <f t="shared" si="17"/>
        <v>1.5671257684178822E-9</v>
      </c>
      <c r="N38" s="18">
        <f t="shared" si="18"/>
        <v>1.2427514287381399E-3</v>
      </c>
      <c r="O38" s="20">
        <f t="shared" si="19"/>
        <v>32704.444996377249</v>
      </c>
      <c r="P38">
        <f t="shared" si="20"/>
        <v>1600</v>
      </c>
      <c r="Q38">
        <f t="shared" si="21"/>
        <v>0.4</v>
      </c>
      <c r="S38">
        <f t="shared" si="22"/>
        <v>2</v>
      </c>
    </row>
    <row r="39" spans="1:19">
      <c r="K39" s="4"/>
      <c r="L39" s="4"/>
      <c r="M39" s="4"/>
      <c r="N39" s="4"/>
      <c r="O39" s="6"/>
    </row>
    <row r="40" spans="1:19">
      <c r="K40" s="4"/>
      <c r="L40" s="4"/>
      <c r="M40" s="4"/>
      <c r="N40" s="4"/>
      <c r="O40" s="6"/>
    </row>
    <row r="41" spans="1:19">
      <c r="K41" s="4"/>
      <c r="L41" s="4"/>
      <c r="M41" s="4"/>
      <c r="N41" s="4"/>
      <c r="O41" s="6"/>
    </row>
    <row r="42" spans="1:19">
      <c r="K42" s="4"/>
      <c r="L42" s="4"/>
      <c r="M42" s="4"/>
      <c r="N42" s="4"/>
      <c r="O42" s="6"/>
    </row>
    <row r="43" spans="1:19">
      <c r="K43" s="4"/>
      <c r="L43" s="4"/>
      <c r="M43" s="4"/>
      <c r="N43" s="4"/>
      <c r="O43" s="6"/>
    </row>
    <row r="44" spans="1:19">
      <c r="K44" s="4"/>
      <c r="L44" s="4"/>
      <c r="M44" s="4"/>
      <c r="N44" s="4"/>
      <c r="O44" s="6"/>
    </row>
    <row r="45" spans="1:19">
      <c r="K45" s="4"/>
      <c r="L45" s="4"/>
      <c r="M45" s="4"/>
      <c r="N45" s="4"/>
      <c r="O45" s="6"/>
    </row>
    <row r="46" spans="1:19">
      <c r="A46" t="s">
        <v>33</v>
      </c>
    </row>
    <row r="48" spans="1:19">
      <c r="B48" s="14">
        <f t="shared" ref="B48:B59" si="25">9*10^-14</f>
        <v>8.9999999999999995E-14</v>
      </c>
      <c r="C48" s="17">
        <v>1.4999999999999999E-2</v>
      </c>
      <c r="D48" s="14">
        <f t="shared" ref="D48:D59" si="26">C48^(-3)</f>
        <v>296296.29629629629</v>
      </c>
      <c r="E48" s="17">
        <v>100000</v>
      </c>
      <c r="F48" s="14">
        <f t="shared" ref="F48:F59" si="27">E48^(4/3)</f>
        <v>4641588.8336127773</v>
      </c>
      <c r="G48" s="17">
        <v>0.05</v>
      </c>
      <c r="H48" s="14">
        <f t="shared" ref="H48:H59" si="28">G48^(-4/3)</f>
        <v>54.28835233189811</v>
      </c>
      <c r="I48" s="17">
        <f t="shared" ref="I48:I59" si="29">2*10^-6</f>
        <v>1.9999999999999999E-6</v>
      </c>
      <c r="J48" s="14">
        <f t="shared" ref="J48:J59" si="30">I48^(-4/3)</f>
        <v>39685026.299204953</v>
      </c>
      <c r="K48" s="18">
        <f t="shared" ref="K48:K59" si="31">1.8*10^-10</f>
        <v>1.8E-10</v>
      </c>
      <c r="L48" s="18">
        <v>0.72</v>
      </c>
      <c r="M48" s="19">
        <f t="shared" ref="M48:M59" si="32">K48*(1-L48)^(1.85-3.55)</f>
        <v>1.5671257684178822E-9</v>
      </c>
      <c r="N48" s="18">
        <f t="shared" ref="N48:N59" si="33">M48^0.33</f>
        <v>1.2427514287381399E-3</v>
      </c>
      <c r="O48" s="20">
        <f t="shared" ref="O48:O59" si="34">B48*D48*F48*H48*J48*N48</f>
        <v>331400.38099683676</v>
      </c>
      <c r="P48">
        <f>E48/100</f>
        <v>1000</v>
      </c>
      <c r="Q48">
        <f>C48*10</f>
        <v>0.15</v>
      </c>
      <c r="S48">
        <f>I48*10^6</f>
        <v>2</v>
      </c>
    </row>
    <row r="49" spans="2:19">
      <c r="B49" s="14">
        <f t="shared" si="25"/>
        <v>8.9999999999999995E-14</v>
      </c>
      <c r="C49" s="17">
        <v>0.02</v>
      </c>
      <c r="D49" s="14">
        <f t="shared" si="26"/>
        <v>124999.99999999999</v>
      </c>
      <c r="E49" s="17">
        <v>100000</v>
      </c>
      <c r="F49" s="14">
        <f t="shared" si="27"/>
        <v>4641588.8336127773</v>
      </c>
      <c r="G49" s="17">
        <v>0.05</v>
      </c>
      <c r="H49" s="14">
        <f t="shared" si="28"/>
        <v>54.28835233189811</v>
      </c>
      <c r="I49" s="17">
        <f t="shared" si="29"/>
        <v>1.9999999999999999E-6</v>
      </c>
      <c r="J49" s="14">
        <f t="shared" si="30"/>
        <v>39685026.299204953</v>
      </c>
      <c r="K49" s="18">
        <f t="shared" si="31"/>
        <v>1.8E-10</v>
      </c>
      <c r="L49" s="18">
        <v>0.72</v>
      </c>
      <c r="M49" s="19">
        <f t="shared" si="32"/>
        <v>1.5671257684178822E-9</v>
      </c>
      <c r="N49" s="18">
        <f t="shared" si="33"/>
        <v>1.2427514287381399E-3</v>
      </c>
      <c r="O49" s="20">
        <f t="shared" si="34"/>
        <v>139809.53573304051</v>
      </c>
      <c r="P49">
        <f t="shared" ref="P49:P59" si="35">E49/100</f>
        <v>1000</v>
      </c>
      <c r="Q49">
        <f t="shared" ref="Q49:Q59" si="36">C49*10</f>
        <v>0.2</v>
      </c>
      <c r="S49">
        <f t="shared" ref="S49:S59" si="37">I49*10^6</f>
        <v>2</v>
      </c>
    </row>
    <row r="50" spans="2:19">
      <c r="B50" s="14">
        <f t="shared" si="25"/>
        <v>8.9999999999999995E-14</v>
      </c>
      <c r="C50" s="17">
        <v>2.5000000000000001E-2</v>
      </c>
      <c r="D50" s="14">
        <f t="shared" si="26"/>
        <v>63999.999999999985</v>
      </c>
      <c r="E50" s="17">
        <v>100000</v>
      </c>
      <c r="F50" s="14">
        <f t="shared" si="27"/>
        <v>4641588.8336127773</v>
      </c>
      <c r="G50" s="17">
        <v>0.05</v>
      </c>
      <c r="H50" s="14">
        <f t="shared" si="28"/>
        <v>54.28835233189811</v>
      </c>
      <c r="I50" s="17">
        <f t="shared" si="29"/>
        <v>1.9999999999999999E-6</v>
      </c>
      <c r="J50" s="14">
        <f t="shared" si="30"/>
        <v>39685026.299204953</v>
      </c>
      <c r="K50" s="18">
        <f t="shared" si="31"/>
        <v>1.8E-10</v>
      </c>
      <c r="L50" s="18">
        <v>0.72</v>
      </c>
      <c r="M50" s="19">
        <f t="shared" si="32"/>
        <v>1.5671257684178822E-9</v>
      </c>
      <c r="N50" s="18">
        <f t="shared" si="33"/>
        <v>1.2427514287381399E-3</v>
      </c>
      <c r="O50" s="20">
        <f t="shared" si="34"/>
        <v>71582.482295316717</v>
      </c>
      <c r="P50">
        <f t="shared" si="35"/>
        <v>1000</v>
      </c>
      <c r="Q50">
        <f t="shared" si="36"/>
        <v>0.25</v>
      </c>
      <c r="S50">
        <f t="shared" si="37"/>
        <v>2</v>
      </c>
    </row>
    <row r="51" spans="2:19">
      <c r="B51" s="14">
        <f t="shared" si="25"/>
        <v>8.9999999999999995E-14</v>
      </c>
      <c r="C51" s="17">
        <v>0.03</v>
      </c>
      <c r="D51" s="14">
        <f t="shared" si="26"/>
        <v>37037.037037037036</v>
      </c>
      <c r="E51" s="17">
        <v>100000</v>
      </c>
      <c r="F51" s="14">
        <f t="shared" si="27"/>
        <v>4641588.8336127773</v>
      </c>
      <c r="G51" s="17">
        <v>0.05</v>
      </c>
      <c r="H51" s="14">
        <f t="shared" si="28"/>
        <v>54.28835233189811</v>
      </c>
      <c r="I51" s="17">
        <f t="shared" si="29"/>
        <v>1.9999999999999999E-6</v>
      </c>
      <c r="J51" s="14">
        <f t="shared" si="30"/>
        <v>39685026.299204953</v>
      </c>
      <c r="K51" s="18">
        <f t="shared" si="31"/>
        <v>1.8E-10</v>
      </c>
      <c r="L51" s="18">
        <v>0.72</v>
      </c>
      <c r="M51" s="19">
        <f t="shared" si="32"/>
        <v>1.5671257684178822E-9</v>
      </c>
      <c r="N51" s="18">
        <f t="shared" si="33"/>
        <v>1.2427514287381399E-3</v>
      </c>
      <c r="O51" s="20">
        <f t="shared" si="34"/>
        <v>41425.047624604595</v>
      </c>
      <c r="P51">
        <f t="shared" si="35"/>
        <v>1000</v>
      </c>
      <c r="Q51">
        <f t="shared" si="36"/>
        <v>0.3</v>
      </c>
      <c r="S51">
        <f t="shared" si="37"/>
        <v>2</v>
      </c>
    </row>
    <row r="52" spans="2:19">
      <c r="B52" s="14">
        <f t="shared" si="25"/>
        <v>8.9999999999999995E-14</v>
      </c>
      <c r="C52" s="17">
        <v>3.5000000000000003E-2</v>
      </c>
      <c r="D52" s="14">
        <f t="shared" si="26"/>
        <v>23323.615160349847</v>
      </c>
      <c r="E52" s="17">
        <v>100000</v>
      </c>
      <c r="F52" s="14">
        <f t="shared" si="27"/>
        <v>4641588.8336127773</v>
      </c>
      <c r="G52" s="17">
        <v>0.05</v>
      </c>
      <c r="H52" s="14">
        <f t="shared" si="28"/>
        <v>54.28835233189811</v>
      </c>
      <c r="I52" s="17">
        <f t="shared" si="29"/>
        <v>1.9999999999999999E-6</v>
      </c>
      <c r="J52" s="14">
        <f t="shared" si="30"/>
        <v>39685026.299204953</v>
      </c>
      <c r="K52" s="18">
        <f t="shared" si="31"/>
        <v>1.8E-10</v>
      </c>
      <c r="L52" s="18">
        <v>0.72</v>
      </c>
      <c r="M52" s="19">
        <f t="shared" si="32"/>
        <v>1.5671257684178822E-9</v>
      </c>
      <c r="N52" s="18">
        <f t="shared" si="33"/>
        <v>1.2427514287381399E-3</v>
      </c>
      <c r="O52" s="20">
        <f t="shared" si="34"/>
        <v>26086.910457476941</v>
      </c>
      <c r="P52">
        <f t="shared" si="35"/>
        <v>1000</v>
      </c>
      <c r="Q52">
        <f t="shared" si="36"/>
        <v>0.35000000000000003</v>
      </c>
      <c r="S52">
        <f t="shared" si="37"/>
        <v>2</v>
      </c>
    </row>
    <row r="53" spans="2:19">
      <c r="B53" s="14">
        <f t="shared" si="25"/>
        <v>8.9999999999999995E-14</v>
      </c>
      <c r="C53" s="17">
        <v>0.04</v>
      </c>
      <c r="D53" s="14">
        <f t="shared" si="26"/>
        <v>15624.999999999998</v>
      </c>
      <c r="E53" s="17">
        <v>100000</v>
      </c>
      <c r="F53" s="14">
        <f t="shared" si="27"/>
        <v>4641588.8336127773</v>
      </c>
      <c r="G53" s="17">
        <v>0.05</v>
      </c>
      <c r="H53" s="14">
        <f t="shared" si="28"/>
        <v>54.28835233189811</v>
      </c>
      <c r="I53" s="17">
        <f t="shared" si="29"/>
        <v>1.9999999999999999E-6</v>
      </c>
      <c r="J53" s="14">
        <f t="shared" si="30"/>
        <v>39685026.299204953</v>
      </c>
      <c r="K53" s="18">
        <f t="shared" si="31"/>
        <v>1.8E-10</v>
      </c>
      <c r="L53" s="18">
        <v>0.72</v>
      </c>
      <c r="M53" s="19">
        <f t="shared" si="32"/>
        <v>1.5671257684178822E-9</v>
      </c>
      <c r="N53" s="18">
        <f t="shared" si="33"/>
        <v>1.2427514287381399E-3</v>
      </c>
      <c r="O53" s="20">
        <f t="shared" si="34"/>
        <v>17476.191966630064</v>
      </c>
      <c r="P53">
        <f t="shared" si="35"/>
        <v>1000</v>
      </c>
      <c r="Q53">
        <f t="shared" si="36"/>
        <v>0.4</v>
      </c>
      <c r="S53">
        <f t="shared" si="37"/>
        <v>2</v>
      </c>
    </row>
    <row r="54" spans="2:19">
      <c r="B54" s="14">
        <f t="shared" si="25"/>
        <v>8.9999999999999995E-14</v>
      </c>
      <c r="C54" s="17">
        <v>5.5E-2</v>
      </c>
      <c r="D54" s="14">
        <f t="shared" si="26"/>
        <v>6010.5184072126222</v>
      </c>
      <c r="E54" s="17">
        <v>100000</v>
      </c>
      <c r="F54" s="14">
        <f t="shared" si="27"/>
        <v>4641588.8336127773</v>
      </c>
      <c r="G54" s="17">
        <v>0.05</v>
      </c>
      <c r="H54" s="14">
        <f t="shared" si="28"/>
        <v>54.28835233189811</v>
      </c>
      <c r="I54" s="17">
        <f t="shared" si="29"/>
        <v>1.9999999999999999E-6</v>
      </c>
      <c r="J54" s="14">
        <f t="shared" si="30"/>
        <v>39685026.299204953</v>
      </c>
      <c r="K54" s="18">
        <f t="shared" si="31"/>
        <v>1.8E-10</v>
      </c>
      <c r="L54" s="18">
        <v>0.72</v>
      </c>
      <c r="M54" s="19">
        <f t="shared" si="32"/>
        <v>1.5671257684178822E-9</v>
      </c>
      <c r="N54" s="18">
        <f t="shared" si="33"/>
        <v>1.2427514287381399E-3</v>
      </c>
      <c r="O54" s="20">
        <f t="shared" si="34"/>
        <v>6722.6223042183274</v>
      </c>
      <c r="P54">
        <f t="shared" si="35"/>
        <v>1000</v>
      </c>
      <c r="Q54">
        <f t="shared" si="36"/>
        <v>0.55000000000000004</v>
      </c>
      <c r="S54">
        <f t="shared" si="37"/>
        <v>2</v>
      </c>
    </row>
    <row r="55" spans="2:19">
      <c r="B55" s="14">
        <f t="shared" si="25"/>
        <v>8.9999999999999995E-14</v>
      </c>
      <c r="C55" s="17">
        <v>7.0000000000000007E-2</v>
      </c>
      <c r="D55" s="14">
        <f t="shared" si="26"/>
        <v>2915.4518950437309</v>
      </c>
      <c r="E55" s="17">
        <v>100000</v>
      </c>
      <c r="F55" s="14">
        <f t="shared" si="27"/>
        <v>4641588.8336127773</v>
      </c>
      <c r="G55" s="17">
        <v>0.05</v>
      </c>
      <c r="H55" s="14">
        <f t="shared" si="28"/>
        <v>54.28835233189811</v>
      </c>
      <c r="I55" s="17">
        <f t="shared" si="29"/>
        <v>1.9999999999999999E-6</v>
      </c>
      <c r="J55" s="14">
        <f t="shared" si="30"/>
        <v>39685026.299204953</v>
      </c>
      <c r="K55" s="18">
        <f t="shared" si="31"/>
        <v>1.8E-10</v>
      </c>
      <c r="L55" s="18">
        <v>0.72</v>
      </c>
      <c r="M55" s="19">
        <f t="shared" si="32"/>
        <v>1.5671257684178822E-9</v>
      </c>
      <c r="N55" s="18">
        <f t="shared" si="33"/>
        <v>1.2427514287381399E-3</v>
      </c>
      <c r="O55" s="20">
        <f t="shared" si="34"/>
        <v>3260.8638071846176</v>
      </c>
      <c r="P55">
        <f t="shared" si="35"/>
        <v>1000</v>
      </c>
      <c r="Q55">
        <f t="shared" si="36"/>
        <v>0.70000000000000007</v>
      </c>
      <c r="S55">
        <f t="shared" si="37"/>
        <v>2</v>
      </c>
    </row>
    <row r="56" spans="2:19">
      <c r="B56" s="14">
        <f t="shared" si="25"/>
        <v>8.9999999999999995E-14</v>
      </c>
      <c r="C56" s="17">
        <v>0.08</v>
      </c>
      <c r="D56" s="14">
        <f t="shared" si="26"/>
        <v>1953.1249999999998</v>
      </c>
      <c r="E56" s="17">
        <v>100000</v>
      </c>
      <c r="F56" s="14">
        <f t="shared" si="27"/>
        <v>4641588.8336127773</v>
      </c>
      <c r="G56" s="17">
        <v>0.05</v>
      </c>
      <c r="H56" s="14">
        <f t="shared" si="28"/>
        <v>54.28835233189811</v>
      </c>
      <c r="I56" s="17">
        <f t="shared" si="29"/>
        <v>1.9999999999999999E-6</v>
      </c>
      <c r="J56" s="14">
        <f t="shared" si="30"/>
        <v>39685026.299204953</v>
      </c>
      <c r="K56" s="18">
        <f t="shared" si="31"/>
        <v>1.8E-10</v>
      </c>
      <c r="L56" s="18">
        <v>0.72</v>
      </c>
      <c r="M56" s="19">
        <f t="shared" si="32"/>
        <v>1.5671257684178822E-9</v>
      </c>
      <c r="N56" s="18">
        <f t="shared" si="33"/>
        <v>1.2427514287381399E-3</v>
      </c>
      <c r="O56" s="20">
        <f t="shared" si="34"/>
        <v>2184.523995828758</v>
      </c>
      <c r="P56">
        <f t="shared" si="35"/>
        <v>1000</v>
      </c>
      <c r="Q56">
        <f t="shared" si="36"/>
        <v>0.8</v>
      </c>
      <c r="S56">
        <f t="shared" si="37"/>
        <v>2</v>
      </c>
    </row>
    <row r="57" spans="2:19">
      <c r="B57" s="14">
        <f t="shared" si="25"/>
        <v>8.9999999999999995E-14</v>
      </c>
      <c r="C57" s="17">
        <v>0.09</v>
      </c>
      <c r="D57" s="14">
        <f t="shared" si="26"/>
        <v>1371.7421124828534</v>
      </c>
      <c r="E57" s="17">
        <v>100000</v>
      </c>
      <c r="F57" s="14">
        <f t="shared" si="27"/>
        <v>4641588.8336127773</v>
      </c>
      <c r="G57" s="17">
        <v>0.05</v>
      </c>
      <c r="H57" s="14">
        <f t="shared" si="28"/>
        <v>54.28835233189811</v>
      </c>
      <c r="I57" s="17">
        <f t="shared" si="29"/>
        <v>1.9999999999999999E-6</v>
      </c>
      <c r="J57" s="14">
        <f t="shared" si="30"/>
        <v>39685026.299204953</v>
      </c>
      <c r="K57" s="18">
        <f t="shared" si="31"/>
        <v>1.8E-10</v>
      </c>
      <c r="L57" s="18">
        <v>0.72</v>
      </c>
      <c r="M57" s="19">
        <f t="shared" si="32"/>
        <v>1.5671257684178822E-9</v>
      </c>
      <c r="N57" s="18">
        <f t="shared" si="33"/>
        <v>1.2427514287381399E-3</v>
      </c>
      <c r="O57" s="20">
        <f t="shared" si="34"/>
        <v>1534.2610231335034</v>
      </c>
      <c r="P57">
        <f t="shared" si="35"/>
        <v>1000</v>
      </c>
      <c r="Q57">
        <f t="shared" si="36"/>
        <v>0.89999999999999991</v>
      </c>
      <c r="S57">
        <f t="shared" si="37"/>
        <v>2</v>
      </c>
    </row>
    <row r="58" spans="2:19">
      <c r="B58" s="14">
        <f t="shared" si="25"/>
        <v>8.9999999999999995E-14</v>
      </c>
      <c r="C58" s="17">
        <v>0.1</v>
      </c>
      <c r="D58" s="14">
        <f t="shared" si="26"/>
        <v>999.99999999999977</v>
      </c>
      <c r="E58" s="17">
        <v>100000</v>
      </c>
      <c r="F58" s="14">
        <f t="shared" si="27"/>
        <v>4641588.8336127773</v>
      </c>
      <c r="G58" s="17">
        <v>0.05</v>
      </c>
      <c r="H58" s="14">
        <f t="shared" si="28"/>
        <v>54.28835233189811</v>
      </c>
      <c r="I58" s="17">
        <f t="shared" si="29"/>
        <v>1.9999999999999999E-6</v>
      </c>
      <c r="J58" s="14">
        <f t="shared" si="30"/>
        <v>39685026.299204953</v>
      </c>
      <c r="K58" s="18">
        <f t="shared" si="31"/>
        <v>1.8E-10</v>
      </c>
      <c r="L58" s="18">
        <v>0.72</v>
      </c>
      <c r="M58" s="19">
        <f t="shared" si="32"/>
        <v>1.5671257684178822E-9</v>
      </c>
      <c r="N58" s="18">
        <f t="shared" si="33"/>
        <v>1.2427514287381399E-3</v>
      </c>
      <c r="O58" s="20">
        <f t="shared" si="34"/>
        <v>1118.4762858643237</v>
      </c>
      <c r="P58">
        <f t="shared" si="35"/>
        <v>1000</v>
      </c>
      <c r="Q58">
        <f t="shared" si="36"/>
        <v>1</v>
      </c>
      <c r="S58">
        <f t="shared" si="37"/>
        <v>2</v>
      </c>
    </row>
    <row r="59" spans="2:19">
      <c r="B59" s="14">
        <f t="shared" si="25"/>
        <v>8.9999999999999995E-14</v>
      </c>
      <c r="C59" s="17">
        <v>0.2</v>
      </c>
      <c r="D59" s="14">
        <f t="shared" si="26"/>
        <v>124.99999999999997</v>
      </c>
      <c r="E59" s="17">
        <v>100000</v>
      </c>
      <c r="F59" s="14">
        <f t="shared" si="27"/>
        <v>4641588.8336127773</v>
      </c>
      <c r="G59" s="17">
        <v>0.05</v>
      </c>
      <c r="H59" s="14">
        <f t="shared" si="28"/>
        <v>54.28835233189811</v>
      </c>
      <c r="I59" s="17">
        <f t="shared" si="29"/>
        <v>1.9999999999999999E-6</v>
      </c>
      <c r="J59" s="14">
        <f t="shared" si="30"/>
        <v>39685026.299204953</v>
      </c>
      <c r="K59" s="18">
        <f t="shared" si="31"/>
        <v>1.8E-10</v>
      </c>
      <c r="L59" s="18">
        <v>0.72</v>
      </c>
      <c r="M59" s="19">
        <f t="shared" si="32"/>
        <v>1.5671257684178822E-9</v>
      </c>
      <c r="N59" s="18">
        <f t="shared" si="33"/>
        <v>1.2427514287381399E-3</v>
      </c>
      <c r="O59" s="20">
        <f t="shared" si="34"/>
        <v>139.80953573304046</v>
      </c>
      <c r="P59">
        <f t="shared" si="35"/>
        <v>1000</v>
      </c>
      <c r="Q59">
        <f t="shared" si="36"/>
        <v>2</v>
      </c>
      <c r="S59">
        <f t="shared" si="37"/>
        <v>2</v>
      </c>
    </row>
    <row r="68" spans="1:19">
      <c r="A68" t="s">
        <v>52</v>
      </c>
    </row>
    <row r="69" spans="1:19">
      <c r="B69" s="14">
        <f t="shared" ref="B69:B80" si="38">9*10^-14</f>
        <v>8.9999999999999995E-14</v>
      </c>
      <c r="C69" s="17">
        <v>0.04</v>
      </c>
      <c r="D69" s="14">
        <f t="shared" ref="D69:D80" si="39">C69^(-3)</f>
        <v>15624.999999999998</v>
      </c>
      <c r="E69" s="17">
        <v>100000</v>
      </c>
      <c r="F69" s="14">
        <f t="shared" ref="F69:F80" si="40">E69^(4/3)</f>
        <v>4641588.8336127773</v>
      </c>
      <c r="G69" s="17">
        <v>1.4999999999999999E-2</v>
      </c>
      <c r="H69" s="14">
        <f t="shared" ref="H69:H80" si="41">G69^(-4/3)</f>
        <v>270.3200886921511</v>
      </c>
      <c r="I69" s="17">
        <f t="shared" ref="I69:I80" si="42">2*10^-6</f>
        <v>1.9999999999999999E-6</v>
      </c>
      <c r="J69" s="14">
        <f t="shared" ref="J69:J80" si="43">I69^(-4/3)</f>
        <v>39685026.299204953</v>
      </c>
      <c r="K69" s="18">
        <f t="shared" ref="K69:K80" si="44">1.8*10^-10</f>
        <v>1.8E-10</v>
      </c>
      <c r="L69" s="18">
        <v>0.72</v>
      </c>
      <c r="M69" s="19">
        <f t="shared" ref="M69:M80" si="45">K69*(1-L69)^(1.85-3.55)</f>
        <v>1.5671257684178822E-9</v>
      </c>
      <c r="N69" s="18">
        <f t="shared" ref="N69:N80" si="46">M69^0.33</f>
        <v>1.2427514287381399E-3</v>
      </c>
      <c r="O69" s="20">
        <f t="shared" ref="O69:O80" si="47">B69*D69*F69*H69*J69*N69</f>
        <v>87019.877367777968</v>
      </c>
      <c r="P69">
        <f>E69/100</f>
        <v>1000</v>
      </c>
      <c r="Q69">
        <f>C69*10</f>
        <v>0.4</v>
      </c>
      <c r="S69">
        <f>I69*10^6</f>
        <v>2</v>
      </c>
    </row>
    <row r="70" spans="1:19">
      <c r="B70" s="14">
        <f t="shared" si="38"/>
        <v>8.9999999999999995E-14</v>
      </c>
      <c r="C70" s="17">
        <v>0.04</v>
      </c>
      <c r="D70" s="14">
        <f t="shared" si="39"/>
        <v>15624.999999999998</v>
      </c>
      <c r="E70" s="17">
        <v>100000</v>
      </c>
      <c r="F70" s="14">
        <f t="shared" si="40"/>
        <v>4641588.8336127773</v>
      </c>
      <c r="G70" s="17">
        <v>0.02</v>
      </c>
      <c r="H70" s="14">
        <f t="shared" si="41"/>
        <v>184.2015749320193</v>
      </c>
      <c r="I70" s="17">
        <f t="shared" si="42"/>
        <v>1.9999999999999999E-6</v>
      </c>
      <c r="J70" s="14">
        <f t="shared" si="43"/>
        <v>39685026.299204953</v>
      </c>
      <c r="K70" s="18">
        <f t="shared" si="44"/>
        <v>1.8E-10</v>
      </c>
      <c r="L70" s="18">
        <v>0.72</v>
      </c>
      <c r="M70" s="19">
        <f t="shared" si="45"/>
        <v>1.5671257684178822E-9</v>
      </c>
      <c r="N70" s="18">
        <f t="shared" si="46"/>
        <v>1.2427514287381399E-3</v>
      </c>
      <c r="O70" s="20">
        <f t="shared" si="47"/>
        <v>59297.104181518793</v>
      </c>
      <c r="P70">
        <f t="shared" ref="P70:P80" si="48">E70/100</f>
        <v>1000</v>
      </c>
      <c r="Q70">
        <f t="shared" ref="Q70:Q80" si="49">C70*10</f>
        <v>0.4</v>
      </c>
      <c r="S70">
        <f t="shared" ref="S70:S80" si="50">I70*10^6</f>
        <v>2</v>
      </c>
    </row>
    <row r="71" spans="1:19">
      <c r="B71" s="14">
        <f t="shared" si="38"/>
        <v>8.9999999999999995E-14</v>
      </c>
      <c r="C71" s="17">
        <v>0.04</v>
      </c>
      <c r="D71" s="14">
        <f t="shared" si="39"/>
        <v>15624.999999999998</v>
      </c>
      <c r="E71" s="17">
        <v>100000</v>
      </c>
      <c r="F71" s="14">
        <f t="shared" si="40"/>
        <v>4641588.8336127773</v>
      </c>
      <c r="G71" s="17">
        <v>2.5000000000000001E-2</v>
      </c>
      <c r="H71" s="14">
        <f t="shared" si="41"/>
        <v>136.79807573413575</v>
      </c>
      <c r="I71" s="17">
        <f t="shared" si="42"/>
        <v>1.9999999999999999E-6</v>
      </c>
      <c r="J71" s="14">
        <f t="shared" si="43"/>
        <v>39685026.299204953</v>
      </c>
      <c r="K71" s="18">
        <f t="shared" si="44"/>
        <v>1.8E-10</v>
      </c>
      <c r="L71" s="18">
        <v>0.72</v>
      </c>
      <c r="M71" s="19">
        <f t="shared" si="45"/>
        <v>1.5671257684178822E-9</v>
      </c>
      <c r="N71" s="18">
        <f t="shared" si="46"/>
        <v>1.2427514287381399E-3</v>
      </c>
      <c r="O71" s="20">
        <f t="shared" si="47"/>
        <v>44037.244261521795</v>
      </c>
      <c r="P71">
        <f t="shared" si="48"/>
        <v>1000</v>
      </c>
      <c r="Q71">
        <f t="shared" si="49"/>
        <v>0.4</v>
      </c>
      <c r="S71">
        <f t="shared" si="50"/>
        <v>2</v>
      </c>
    </row>
    <row r="72" spans="1:19">
      <c r="B72" s="14">
        <f t="shared" si="38"/>
        <v>8.9999999999999995E-14</v>
      </c>
      <c r="C72" s="17">
        <v>0.04</v>
      </c>
      <c r="D72" s="14">
        <f t="shared" si="39"/>
        <v>15624.999999999998</v>
      </c>
      <c r="E72" s="17">
        <v>100000</v>
      </c>
      <c r="F72" s="14">
        <f t="shared" si="40"/>
        <v>4641588.8336127773</v>
      </c>
      <c r="G72" s="17">
        <v>3.3000000000000002E-2</v>
      </c>
      <c r="H72" s="14">
        <f t="shared" si="41"/>
        <v>94.474531479355051</v>
      </c>
      <c r="I72" s="17">
        <f t="shared" si="42"/>
        <v>1.9999999999999999E-6</v>
      </c>
      <c r="J72" s="14">
        <f t="shared" si="43"/>
        <v>39685026.299204953</v>
      </c>
      <c r="K72" s="18">
        <f t="shared" si="44"/>
        <v>1.8E-10</v>
      </c>
      <c r="L72" s="18">
        <v>0.72</v>
      </c>
      <c r="M72" s="19">
        <f t="shared" si="45"/>
        <v>1.5671257684178822E-9</v>
      </c>
      <c r="N72" s="18">
        <f t="shared" si="46"/>
        <v>1.2427514287381399E-3</v>
      </c>
      <c r="O72" s="20">
        <f t="shared" si="47"/>
        <v>30412.694015775756</v>
      </c>
      <c r="P72">
        <f t="shared" si="48"/>
        <v>1000</v>
      </c>
      <c r="Q72">
        <f t="shared" si="49"/>
        <v>0.4</v>
      </c>
      <c r="S72">
        <f t="shared" si="50"/>
        <v>2</v>
      </c>
    </row>
    <row r="73" spans="1:19">
      <c r="B73" s="14">
        <f t="shared" si="38"/>
        <v>8.9999999999999995E-14</v>
      </c>
      <c r="C73" s="17">
        <v>0.04</v>
      </c>
      <c r="D73" s="14">
        <f t="shared" si="39"/>
        <v>15624.999999999998</v>
      </c>
      <c r="E73" s="17">
        <v>100000</v>
      </c>
      <c r="F73" s="14">
        <f t="shared" si="40"/>
        <v>4641588.8336127773</v>
      </c>
      <c r="G73" s="17">
        <v>0.04</v>
      </c>
      <c r="H73" s="14">
        <f t="shared" si="41"/>
        <v>73.100443455321582</v>
      </c>
      <c r="I73" s="17">
        <f t="shared" si="42"/>
        <v>1.9999999999999999E-6</v>
      </c>
      <c r="J73" s="14">
        <f t="shared" si="43"/>
        <v>39685026.299204953</v>
      </c>
      <c r="K73" s="18">
        <f t="shared" si="44"/>
        <v>1.8E-10</v>
      </c>
      <c r="L73" s="18">
        <v>0.72</v>
      </c>
      <c r="M73" s="19">
        <f t="shared" si="45"/>
        <v>1.5671257684178822E-9</v>
      </c>
      <c r="N73" s="18">
        <f t="shared" si="46"/>
        <v>1.2427514287381399E-3</v>
      </c>
      <c r="O73" s="20">
        <f t="shared" si="47"/>
        <v>23532.071389102694</v>
      </c>
      <c r="P73">
        <f t="shared" si="48"/>
        <v>1000</v>
      </c>
      <c r="Q73">
        <f t="shared" si="49"/>
        <v>0.4</v>
      </c>
      <c r="S73">
        <f t="shared" si="50"/>
        <v>2</v>
      </c>
    </row>
    <row r="74" spans="1:19">
      <c r="B74" s="14">
        <f t="shared" si="38"/>
        <v>8.9999999999999995E-14</v>
      </c>
      <c r="C74" s="17">
        <v>0.04</v>
      </c>
      <c r="D74" s="14">
        <f t="shared" si="39"/>
        <v>15624.999999999998</v>
      </c>
      <c r="E74" s="17">
        <v>100000</v>
      </c>
      <c r="F74" s="14">
        <f t="shared" si="40"/>
        <v>4641588.8336127773</v>
      </c>
      <c r="G74" s="17">
        <v>0.05</v>
      </c>
      <c r="H74" s="14">
        <f t="shared" si="41"/>
        <v>54.28835233189811</v>
      </c>
      <c r="I74" s="17">
        <f t="shared" si="42"/>
        <v>1.9999999999999999E-6</v>
      </c>
      <c r="J74" s="14">
        <f t="shared" si="43"/>
        <v>39685026.299204953</v>
      </c>
      <c r="K74" s="18">
        <f t="shared" si="44"/>
        <v>1.8E-10</v>
      </c>
      <c r="L74" s="18">
        <v>0.72</v>
      </c>
      <c r="M74" s="19">
        <f t="shared" si="45"/>
        <v>1.5671257684178822E-9</v>
      </c>
      <c r="N74" s="18">
        <f t="shared" si="46"/>
        <v>1.2427514287381399E-3</v>
      </c>
      <c r="O74" s="20">
        <f t="shared" si="47"/>
        <v>17476.191966630064</v>
      </c>
      <c r="P74">
        <f t="shared" si="48"/>
        <v>1000</v>
      </c>
      <c r="Q74">
        <f t="shared" si="49"/>
        <v>0.4</v>
      </c>
      <c r="S74">
        <f t="shared" si="50"/>
        <v>2</v>
      </c>
    </row>
    <row r="75" spans="1:19">
      <c r="B75" s="14">
        <f t="shared" si="38"/>
        <v>8.9999999999999995E-14</v>
      </c>
      <c r="C75" s="17">
        <v>0.04</v>
      </c>
      <c r="D75" s="14">
        <f t="shared" si="39"/>
        <v>15624.999999999998</v>
      </c>
      <c r="E75" s="17">
        <v>100000</v>
      </c>
      <c r="F75" s="14">
        <f t="shared" si="40"/>
        <v>4641588.8336127773</v>
      </c>
      <c r="G75" s="17">
        <v>0.06</v>
      </c>
      <c r="H75" s="14">
        <f t="shared" si="41"/>
        <v>42.572746244086275</v>
      </c>
      <c r="I75" s="17">
        <f t="shared" si="42"/>
        <v>1.9999999999999999E-6</v>
      </c>
      <c r="J75" s="14">
        <f t="shared" si="43"/>
        <v>39685026.299204953</v>
      </c>
      <c r="K75" s="18">
        <f t="shared" si="44"/>
        <v>1.8E-10</v>
      </c>
      <c r="L75" s="18">
        <v>0.72</v>
      </c>
      <c r="M75" s="19">
        <f t="shared" si="45"/>
        <v>1.5671257684178822E-9</v>
      </c>
      <c r="N75" s="18">
        <f t="shared" si="46"/>
        <v>1.2427514287381399E-3</v>
      </c>
      <c r="O75" s="20">
        <f t="shared" si="47"/>
        <v>13704.771906866741</v>
      </c>
      <c r="P75">
        <f t="shared" si="48"/>
        <v>1000</v>
      </c>
      <c r="Q75">
        <f t="shared" si="49"/>
        <v>0.4</v>
      </c>
      <c r="S75">
        <f t="shared" si="50"/>
        <v>2</v>
      </c>
    </row>
    <row r="76" spans="1:19">
      <c r="B76" s="14">
        <f t="shared" si="38"/>
        <v>8.9999999999999995E-14</v>
      </c>
      <c r="C76" s="17">
        <v>0.04</v>
      </c>
      <c r="D76" s="14">
        <f t="shared" si="39"/>
        <v>15624.999999999998</v>
      </c>
      <c r="E76" s="17">
        <v>100000</v>
      </c>
      <c r="F76" s="14">
        <f t="shared" si="40"/>
        <v>4641588.8336127773</v>
      </c>
      <c r="G76" s="17">
        <v>7.0000000000000007E-2</v>
      </c>
      <c r="H76" s="14">
        <f t="shared" si="41"/>
        <v>34.663250045751226</v>
      </c>
      <c r="I76" s="17">
        <f t="shared" si="42"/>
        <v>1.9999999999999999E-6</v>
      </c>
      <c r="J76" s="14">
        <f t="shared" si="43"/>
        <v>39685026.299204953</v>
      </c>
      <c r="K76" s="18">
        <f t="shared" si="44"/>
        <v>1.8E-10</v>
      </c>
      <c r="L76" s="18">
        <v>0.72</v>
      </c>
      <c r="M76" s="19">
        <f t="shared" si="45"/>
        <v>1.5671257684178822E-9</v>
      </c>
      <c r="N76" s="18">
        <f t="shared" si="46"/>
        <v>1.2427514287381399E-3</v>
      </c>
      <c r="O76" s="20">
        <f t="shared" si="47"/>
        <v>11158.592699283465</v>
      </c>
      <c r="P76">
        <f t="shared" si="48"/>
        <v>1000</v>
      </c>
      <c r="Q76">
        <f t="shared" si="49"/>
        <v>0.4</v>
      </c>
      <c r="S76">
        <f t="shared" si="50"/>
        <v>2</v>
      </c>
    </row>
    <row r="77" spans="1:19">
      <c r="B77" s="14">
        <f t="shared" si="38"/>
        <v>8.9999999999999995E-14</v>
      </c>
      <c r="C77" s="17">
        <v>0.04</v>
      </c>
      <c r="D77" s="14">
        <f t="shared" si="39"/>
        <v>15624.999999999998</v>
      </c>
      <c r="E77" s="17">
        <v>100000</v>
      </c>
      <c r="F77" s="14">
        <f t="shared" si="40"/>
        <v>4641588.8336127773</v>
      </c>
      <c r="G77" s="17">
        <v>0.08</v>
      </c>
      <c r="H77" s="14">
        <f t="shared" si="41"/>
        <v>29.009930210079872</v>
      </c>
      <c r="I77" s="17">
        <f t="shared" si="42"/>
        <v>1.9999999999999999E-6</v>
      </c>
      <c r="J77" s="14">
        <f t="shared" si="43"/>
        <v>39685026.299204953</v>
      </c>
      <c r="K77" s="18">
        <f t="shared" si="44"/>
        <v>1.8E-10</v>
      </c>
      <c r="L77" s="18">
        <v>0.72</v>
      </c>
      <c r="M77" s="19">
        <f t="shared" si="45"/>
        <v>1.5671257684178822E-9</v>
      </c>
      <c r="N77" s="18">
        <f t="shared" si="46"/>
        <v>1.2427514287381399E-3</v>
      </c>
      <c r="O77" s="20">
        <f t="shared" si="47"/>
        <v>9338.7087195131062</v>
      </c>
      <c r="P77">
        <f t="shared" si="48"/>
        <v>1000</v>
      </c>
      <c r="Q77">
        <f t="shared" si="49"/>
        <v>0.4</v>
      </c>
      <c r="S77">
        <f t="shared" si="50"/>
        <v>2</v>
      </c>
    </row>
    <row r="78" spans="1:19">
      <c r="B78" s="14">
        <f t="shared" si="38"/>
        <v>8.9999999999999995E-14</v>
      </c>
      <c r="C78" s="17">
        <v>0.04</v>
      </c>
      <c r="D78" s="14">
        <f t="shared" si="39"/>
        <v>15624.999999999998</v>
      </c>
      <c r="E78" s="17">
        <v>100000</v>
      </c>
      <c r="F78" s="14">
        <f t="shared" si="40"/>
        <v>4641588.8336127773</v>
      </c>
      <c r="G78" s="17">
        <v>0.09</v>
      </c>
      <c r="H78" s="14">
        <f t="shared" si="41"/>
        <v>24.793812966006282</v>
      </c>
      <c r="I78" s="17">
        <f t="shared" si="42"/>
        <v>1.9999999999999999E-6</v>
      </c>
      <c r="J78" s="14">
        <f t="shared" si="43"/>
        <v>39685026.299204953</v>
      </c>
      <c r="K78" s="18">
        <f t="shared" si="44"/>
        <v>1.8E-10</v>
      </c>
      <c r="L78" s="18">
        <v>0.72</v>
      </c>
      <c r="M78" s="19">
        <f t="shared" si="45"/>
        <v>1.5671257684178822E-9</v>
      </c>
      <c r="N78" s="18">
        <f t="shared" si="46"/>
        <v>1.2427514287381399E-3</v>
      </c>
      <c r="O78" s="20">
        <f t="shared" si="47"/>
        <v>7981.4806743370818</v>
      </c>
      <c r="P78">
        <f t="shared" si="48"/>
        <v>1000</v>
      </c>
      <c r="Q78">
        <f t="shared" si="49"/>
        <v>0.4</v>
      </c>
      <c r="S78">
        <f t="shared" si="50"/>
        <v>2</v>
      </c>
    </row>
    <row r="79" spans="1:19">
      <c r="B79" s="14">
        <f t="shared" si="38"/>
        <v>8.9999999999999995E-14</v>
      </c>
      <c r="C79" s="17">
        <v>0.04</v>
      </c>
      <c r="D79" s="14">
        <f t="shared" si="39"/>
        <v>15624.999999999998</v>
      </c>
      <c r="E79" s="17">
        <v>100000</v>
      </c>
      <c r="F79" s="14">
        <f t="shared" si="40"/>
        <v>4641588.8336127773</v>
      </c>
      <c r="G79" s="17">
        <v>0.1</v>
      </c>
      <c r="H79" s="14">
        <f t="shared" si="41"/>
        <v>21.544346900318825</v>
      </c>
      <c r="I79" s="17">
        <f t="shared" si="42"/>
        <v>1.9999999999999999E-6</v>
      </c>
      <c r="J79" s="14">
        <f t="shared" si="43"/>
        <v>39685026.299204953</v>
      </c>
      <c r="K79" s="18">
        <f t="shared" si="44"/>
        <v>1.8E-10</v>
      </c>
      <c r="L79" s="18">
        <v>0.72</v>
      </c>
      <c r="M79" s="19">
        <f t="shared" si="45"/>
        <v>1.5671257684178822E-9</v>
      </c>
      <c r="N79" s="18">
        <f t="shared" si="46"/>
        <v>1.2427514287381399E-3</v>
      </c>
      <c r="O79" s="20">
        <f t="shared" si="47"/>
        <v>6935.4313780566881</v>
      </c>
      <c r="P79">
        <f t="shared" si="48"/>
        <v>1000</v>
      </c>
      <c r="Q79">
        <f t="shared" si="49"/>
        <v>0.4</v>
      </c>
      <c r="S79">
        <f t="shared" si="50"/>
        <v>2</v>
      </c>
    </row>
    <row r="80" spans="1:19">
      <c r="B80" s="14">
        <f t="shared" si="38"/>
        <v>8.9999999999999995E-14</v>
      </c>
      <c r="C80" s="17">
        <v>0.04</v>
      </c>
      <c r="D80" s="14">
        <f t="shared" si="39"/>
        <v>15624.999999999998</v>
      </c>
      <c r="E80" s="17">
        <v>100000</v>
      </c>
      <c r="F80" s="14">
        <f t="shared" si="40"/>
        <v>4641588.8336127773</v>
      </c>
      <c r="G80" s="17">
        <v>0.15</v>
      </c>
      <c r="H80" s="14">
        <f t="shared" si="41"/>
        <v>12.547147051747043</v>
      </c>
      <c r="I80" s="17">
        <f t="shared" si="42"/>
        <v>1.9999999999999999E-6</v>
      </c>
      <c r="J80" s="14">
        <f t="shared" si="43"/>
        <v>39685026.299204953</v>
      </c>
      <c r="K80" s="18">
        <f t="shared" si="44"/>
        <v>1.8E-10</v>
      </c>
      <c r="L80" s="18">
        <v>0.72</v>
      </c>
      <c r="M80" s="19">
        <f t="shared" si="45"/>
        <v>1.5671257684178822E-9</v>
      </c>
      <c r="N80" s="18">
        <f t="shared" si="46"/>
        <v>1.2427514287381399E-3</v>
      </c>
      <c r="O80" s="20">
        <f t="shared" si="47"/>
        <v>4039.1049109263154</v>
      </c>
      <c r="P80">
        <f t="shared" si="48"/>
        <v>1000</v>
      </c>
      <c r="Q80">
        <f t="shared" si="49"/>
        <v>0.4</v>
      </c>
      <c r="S80">
        <f t="shared" si="50"/>
        <v>2</v>
      </c>
    </row>
    <row r="97" spans="1:19">
      <c r="A97" t="s">
        <v>34</v>
      </c>
    </row>
    <row r="98" spans="1:19">
      <c r="B98" s="14">
        <f t="shared" ref="B98:B109" si="51">9*10^-14</f>
        <v>8.9999999999999995E-14</v>
      </c>
      <c r="C98" s="17">
        <v>0.04</v>
      </c>
      <c r="D98" s="14">
        <f t="shared" ref="D98:D109" si="52">C98^(-3)</f>
        <v>15624.999999999998</v>
      </c>
      <c r="E98" s="17">
        <v>100000</v>
      </c>
      <c r="F98" s="14">
        <f t="shared" ref="F98:F109" si="53">E98^(4/3)</f>
        <v>4641588.8336127773</v>
      </c>
      <c r="G98" s="17">
        <v>0.05</v>
      </c>
      <c r="H98" s="14">
        <f t="shared" ref="H98:H109" si="54">G98^(-4/3)</f>
        <v>54.28835233189811</v>
      </c>
      <c r="I98" s="17">
        <f>0.8*10^-6</f>
        <v>7.9999999999999996E-7</v>
      </c>
      <c r="J98" s="14">
        <f t="shared" ref="J98:J109" si="55">I98^(-4/3)</f>
        <v>134652168.12699246</v>
      </c>
      <c r="K98" s="18">
        <f t="shared" ref="K98:K109" si="56">1.8*10^-10</f>
        <v>1.8E-10</v>
      </c>
      <c r="L98" s="18">
        <v>0.72</v>
      </c>
      <c r="M98" s="19">
        <f t="shared" ref="M98:M109" si="57">K98*(1-L98)^(1.85-3.55)</f>
        <v>1.5671257684178822E-9</v>
      </c>
      <c r="N98" s="18">
        <f t="shared" ref="N98:N109" si="58">M98^0.33</f>
        <v>1.2427514287381399E-3</v>
      </c>
      <c r="O98" s="20">
        <f t="shared" ref="O98:O109" si="59">B98*D98*F98*H98*J98*N98</f>
        <v>59297.10418151872</v>
      </c>
      <c r="P98">
        <f>E98/100</f>
        <v>1000</v>
      </c>
      <c r="Q98">
        <f>C98*10</f>
        <v>0.4</v>
      </c>
      <c r="S98">
        <f>I98*10^6</f>
        <v>0.79999999999999993</v>
      </c>
    </row>
    <row r="99" spans="1:19">
      <c r="B99" s="14">
        <f t="shared" si="51"/>
        <v>8.9999999999999995E-14</v>
      </c>
      <c r="C99" s="17">
        <v>0.04</v>
      </c>
      <c r="D99" s="14">
        <f t="shared" si="52"/>
        <v>15624.999999999998</v>
      </c>
      <c r="E99" s="17">
        <v>100000</v>
      </c>
      <c r="F99" s="14">
        <f t="shared" si="53"/>
        <v>4641588.8336127773</v>
      </c>
      <c r="G99" s="17">
        <v>0.05</v>
      </c>
      <c r="H99" s="14">
        <f t="shared" si="54"/>
        <v>54.28835233189811</v>
      </c>
      <c r="I99" s="17">
        <f>1.1*10^-6</f>
        <v>1.1000000000000001E-6</v>
      </c>
      <c r="J99" s="14">
        <f t="shared" si="55"/>
        <v>88066300.559224084</v>
      </c>
      <c r="K99" s="18">
        <f t="shared" si="56"/>
        <v>1.8E-10</v>
      </c>
      <c r="L99" s="18">
        <v>0.72</v>
      </c>
      <c r="M99" s="19">
        <f t="shared" si="57"/>
        <v>1.5671257684178822E-9</v>
      </c>
      <c r="N99" s="18">
        <f t="shared" si="58"/>
        <v>1.2427514287381399E-3</v>
      </c>
      <c r="O99" s="20">
        <f t="shared" si="59"/>
        <v>38781.97188935148</v>
      </c>
      <c r="P99">
        <f t="shared" ref="P99:P109" si="60">E99/100</f>
        <v>1000</v>
      </c>
      <c r="Q99">
        <f t="shared" ref="Q99:Q109" si="61">C99*10</f>
        <v>0.4</v>
      </c>
      <c r="S99">
        <f t="shared" ref="S99:S109" si="62">I99*10^6</f>
        <v>1.1000000000000001</v>
      </c>
    </row>
    <row r="100" spans="1:19">
      <c r="B100" s="14">
        <f t="shared" si="51"/>
        <v>8.9999999999999995E-14</v>
      </c>
      <c r="C100" s="17">
        <v>0.04</v>
      </c>
      <c r="D100" s="14">
        <f t="shared" si="52"/>
        <v>15624.999999999998</v>
      </c>
      <c r="E100" s="17">
        <v>100000</v>
      </c>
      <c r="F100" s="14">
        <f t="shared" si="53"/>
        <v>4641588.8336127773</v>
      </c>
      <c r="G100" s="17">
        <v>0.05</v>
      </c>
      <c r="H100" s="14">
        <f t="shared" si="54"/>
        <v>54.28835233189811</v>
      </c>
      <c r="I100" s="17">
        <f>1.4*10^-6</f>
        <v>1.3999999999999999E-6</v>
      </c>
      <c r="J100" s="14">
        <f t="shared" si="55"/>
        <v>63850252.506897576</v>
      </c>
      <c r="K100" s="18">
        <f t="shared" si="56"/>
        <v>1.8E-10</v>
      </c>
      <c r="L100" s="18">
        <v>0.72</v>
      </c>
      <c r="M100" s="19">
        <f t="shared" si="57"/>
        <v>1.5671257684178822E-9</v>
      </c>
      <c r="N100" s="18">
        <f t="shared" si="58"/>
        <v>1.2427514287381399E-3</v>
      </c>
      <c r="O100" s="20">
        <f t="shared" si="59"/>
        <v>28117.891658060955</v>
      </c>
      <c r="P100">
        <f t="shared" si="60"/>
        <v>1000</v>
      </c>
      <c r="Q100">
        <f t="shared" si="61"/>
        <v>0.4</v>
      </c>
      <c r="S100">
        <f t="shared" si="62"/>
        <v>1.4</v>
      </c>
    </row>
    <row r="101" spans="1:19">
      <c r="B101" s="14">
        <f t="shared" si="51"/>
        <v>8.9999999999999995E-14</v>
      </c>
      <c r="C101" s="17">
        <v>0.04</v>
      </c>
      <c r="D101" s="14">
        <f t="shared" si="52"/>
        <v>15624.999999999998</v>
      </c>
      <c r="E101" s="17">
        <v>100000</v>
      </c>
      <c r="F101" s="14">
        <f t="shared" si="53"/>
        <v>4641588.8336127773</v>
      </c>
      <c r="G101" s="17">
        <v>0.05</v>
      </c>
      <c r="H101" s="14">
        <f t="shared" si="54"/>
        <v>54.28835233189811</v>
      </c>
      <c r="I101" s="17">
        <f>1.6*10^-6</f>
        <v>1.5999999999999999E-6</v>
      </c>
      <c r="J101" s="14">
        <f t="shared" si="55"/>
        <v>53436748.333646737</v>
      </c>
      <c r="K101" s="18">
        <f t="shared" si="56"/>
        <v>1.8E-10</v>
      </c>
      <c r="L101" s="18">
        <v>0.72</v>
      </c>
      <c r="M101" s="19">
        <f t="shared" si="57"/>
        <v>1.5671257684178822E-9</v>
      </c>
      <c r="N101" s="18">
        <f t="shared" si="58"/>
        <v>1.2427514287381399E-3</v>
      </c>
      <c r="O101" s="20">
        <f t="shared" si="59"/>
        <v>23532.071389102712</v>
      </c>
      <c r="P101">
        <f t="shared" si="60"/>
        <v>1000</v>
      </c>
      <c r="Q101">
        <f t="shared" si="61"/>
        <v>0.4</v>
      </c>
      <c r="S101">
        <f t="shared" si="62"/>
        <v>1.5999999999999999</v>
      </c>
    </row>
    <row r="102" spans="1:19">
      <c r="B102" s="14">
        <f t="shared" si="51"/>
        <v>8.9999999999999995E-14</v>
      </c>
      <c r="C102" s="17">
        <v>0.04</v>
      </c>
      <c r="D102" s="14">
        <f t="shared" si="52"/>
        <v>15624.999999999998</v>
      </c>
      <c r="E102" s="17">
        <v>100000</v>
      </c>
      <c r="F102" s="14">
        <f t="shared" si="53"/>
        <v>4641588.8336127773</v>
      </c>
      <c r="G102" s="17">
        <v>0.05</v>
      </c>
      <c r="H102" s="14">
        <f t="shared" si="54"/>
        <v>54.28835233189811</v>
      </c>
      <c r="I102" s="17">
        <f>1.8*10^-6</f>
        <v>1.7999999999999999E-6</v>
      </c>
      <c r="J102" s="14">
        <f t="shared" si="55"/>
        <v>45670593.969082721</v>
      </c>
      <c r="K102" s="18">
        <f t="shared" si="56"/>
        <v>1.8E-10</v>
      </c>
      <c r="L102" s="18">
        <v>0.72</v>
      </c>
      <c r="M102" s="19">
        <f t="shared" si="57"/>
        <v>1.5671257684178822E-9</v>
      </c>
      <c r="N102" s="18">
        <f t="shared" si="58"/>
        <v>1.2427514287381399E-3</v>
      </c>
      <c r="O102" s="20">
        <f t="shared" si="59"/>
        <v>20112.071021852815</v>
      </c>
      <c r="P102">
        <f t="shared" si="60"/>
        <v>1000</v>
      </c>
      <c r="Q102">
        <f t="shared" si="61"/>
        <v>0.4</v>
      </c>
      <c r="S102">
        <f t="shared" si="62"/>
        <v>1.7999999999999998</v>
      </c>
    </row>
    <row r="103" spans="1:19">
      <c r="B103" s="14">
        <f t="shared" si="51"/>
        <v>8.9999999999999995E-14</v>
      </c>
      <c r="C103" s="17">
        <v>0.04</v>
      </c>
      <c r="D103" s="14">
        <f t="shared" si="52"/>
        <v>15624.999999999998</v>
      </c>
      <c r="E103" s="17">
        <v>100000</v>
      </c>
      <c r="F103" s="14">
        <f t="shared" si="53"/>
        <v>4641588.8336127773</v>
      </c>
      <c r="G103" s="17">
        <v>0.05</v>
      </c>
      <c r="H103" s="14">
        <f t="shared" si="54"/>
        <v>54.28835233189811</v>
      </c>
      <c r="I103" s="17">
        <f t="shared" ref="I98:I109" si="63">2*10^-6</f>
        <v>1.9999999999999999E-6</v>
      </c>
      <c r="J103" s="14">
        <f t="shared" si="55"/>
        <v>39685026.299204953</v>
      </c>
      <c r="K103" s="18">
        <f t="shared" si="56"/>
        <v>1.8E-10</v>
      </c>
      <c r="L103" s="18">
        <v>0.72</v>
      </c>
      <c r="M103" s="19">
        <f t="shared" si="57"/>
        <v>1.5671257684178822E-9</v>
      </c>
      <c r="N103" s="18">
        <f t="shared" si="58"/>
        <v>1.2427514287381399E-3</v>
      </c>
      <c r="O103" s="20">
        <f t="shared" si="59"/>
        <v>17476.191966630064</v>
      </c>
      <c r="P103">
        <f t="shared" si="60"/>
        <v>1000</v>
      </c>
      <c r="Q103">
        <f t="shared" si="61"/>
        <v>0.4</v>
      </c>
      <c r="S103">
        <f t="shared" si="62"/>
        <v>2</v>
      </c>
    </row>
    <row r="104" spans="1:19">
      <c r="B104" s="14">
        <f t="shared" si="51"/>
        <v>8.9999999999999995E-14</v>
      </c>
      <c r="C104" s="17">
        <v>0.04</v>
      </c>
      <c r="D104" s="14">
        <f t="shared" si="52"/>
        <v>15624.999999999998</v>
      </c>
      <c r="E104" s="17">
        <v>100000</v>
      </c>
      <c r="F104" s="14">
        <f t="shared" si="53"/>
        <v>4641588.8336127773</v>
      </c>
      <c r="G104" s="17">
        <v>0.05</v>
      </c>
      <c r="H104" s="14">
        <f t="shared" si="54"/>
        <v>54.28835233189811</v>
      </c>
      <c r="I104" s="17">
        <f>2.4*10^-6</f>
        <v>2.3999999999999999E-6</v>
      </c>
      <c r="J104" s="14">
        <f t="shared" si="55"/>
        <v>31120866.295535792</v>
      </c>
      <c r="K104" s="18">
        <f t="shared" si="56"/>
        <v>1.8E-10</v>
      </c>
      <c r="L104" s="18">
        <v>0.72</v>
      </c>
      <c r="M104" s="19">
        <f t="shared" si="57"/>
        <v>1.5671257684178822E-9</v>
      </c>
      <c r="N104" s="18">
        <f t="shared" si="58"/>
        <v>1.2427514287381399E-3</v>
      </c>
      <c r="O104" s="20">
        <f t="shared" si="59"/>
        <v>13704.771906866717</v>
      </c>
      <c r="P104">
        <f t="shared" si="60"/>
        <v>1000</v>
      </c>
      <c r="Q104">
        <f t="shared" si="61"/>
        <v>0.4</v>
      </c>
      <c r="S104">
        <f t="shared" si="62"/>
        <v>2.4</v>
      </c>
    </row>
    <row r="105" spans="1:19">
      <c r="B105" s="14">
        <f t="shared" si="51"/>
        <v>8.9999999999999995E-14</v>
      </c>
      <c r="C105" s="17">
        <v>0.04</v>
      </c>
      <c r="D105" s="14">
        <f t="shared" si="52"/>
        <v>15624.999999999998</v>
      </c>
      <c r="E105" s="17">
        <v>100000</v>
      </c>
      <c r="F105" s="14">
        <f t="shared" si="53"/>
        <v>4641588.8336127773</v>
      </c>
      <c r="G105" s="17">
        <v>0.05</v>
      </c>
      <c r="H105" s="14">
        <f t="shared" si="54"/>
        <v>54.28835233189811</v>
      </c>
      <c r="I105" s="17">
        <f>2.8*10^-6</f>
        <v>2.7999999999999999E-6</v>
      </c>
      <c r="J105" s="14">
        <f t="shared" si="55"/>
        <v>25338989.499471121</v>
      </c>
      <c r="K105" s="18">
        <f t="shared" si="56"/>
        <v>1.8E-10</v>
      </c>
      <c r="L105" s="18">
        <v>0.72</v>
      </c>
      <c r="M105" s="19">
        <f t="shared" si="57"/>
        <v>1.5671257684178822E-9</v>
      </c>
      <c r="N105" s="18">
        <f t="shared" si="58"/>
        <v>1.2427514287381399E-3</v>
      </c>
      <c r="O105" s="20">
        <f t="shared" si="59"/>
        <v>11158.592699283467</v>
      </c>
      <c r="P105">
        <f t="shared" si="60"/>
        <v>1000</v>
      </c>
      <c r="Q105">
        <f t="shared" si="61"/>
        <v>0.4</v>
      </c>
      <c r="S105">
        <f t="shared" si="62"/>
        <v>2.8</v>
      </c>
    </row>
    <row r="106" spans="1:19">
      <c r="B106" s="14">
        <f t="shared" si="51"/>
        <v>8.9999999999999995E-14</v>
      </c>
      <c r="C106" s="17">
        <v>0.04</v>
      </c>
      <c r="D106" s="14">
        <f t="shared" si="52"/>
        <v>15624.999999999998</v>
      </c>
      <c r="E106" s="17">
        <v>100000</v>
      </c>
      <c r="F106" s="14">
        <f t="shared" si="53"/>
        <v>4641588.8336127773</v>
      </c>
      <c r="G106" s="17">
        <v>0.05</v>
      </c>
      <c r="H106" s="14">
        <f t="shared" si="54"/>
        <v>54.28835233189811</v>
      </c>
      <c r="I106" s="17">
        <f>3.2*10^-6</f>
        <v>3.1999999999999999E-6</v>
      </c>
      <c r="J106" s="14">
        <f t="shared" si="55"/>
        <v>21206387.629647713</v>
      </c>
      <c r="K106" s="18">
        <f t="shared" si="56"/>
        <v>1.8E-10</v>
      </c>
      <c r="L106" s="18">
        <v>0.72</v>
      </c>
      <c r="M106" s="19">
        <f t="shared" si="57"/>
        <v>1.5671257684178822E-9</v>
      </c>
      <c r="N106" s="18">
        <f t="shared" si="58"/>
        <v>1.2427514287381399E-3</v>
      </c>
      <c r="O106" s="20">
        <f t="shared" si="59"/>
        <v>9338.7087195131116</v>
      </c>
      <c r="P106">
        <f t="shared" si="60"/>
        <v>1000</v>
      </c>
      <c r="Q106">
        <f t="shared" si="61"/>
        <v>0.4</v>
      </c>
      <c r="S106">
        <f t="shared" si="62"/>
        <v>3.1999999999999997</v>
      </c>
    </row>
    <row r="107" spans="1:19">
      <c r="B107" s="14">
        <f t="shared" si="51"/>
        <v>8.9999999999999995E-14</v>
      </c>
      <c r="C107" s="17">
        <v>0.04</v>
      </c>
      <c r="D107" s="14">
        <f t="shared" si="52"/>
        <v>15624.999999999998</v>
      </c>
      <c r="E107" s="17">
        <v>100000</v>
      </c>
      <c r="F107" s="14">
        <f t="shared" si="53"/>
        <v>4641588.8336127773</v>
      </c>
      <c r="G107" s="17">
        <v>0.05</v>
      </c>
      <c r="H107" s="14">
        <f t="shared" si="54"/>
        <v>54.28835233189811</v>
      </c>
      <c r="I107" s="17">
        <f>3.6*10^-6</f>
        <v>3.5999999999999998E-6</v>
      </c>
      <c r="J107" s="14">
        <f t="shared" si="55"/>
        <v>18124387.227633625</v>
      </c>
      <c r="K107" s="18">
        <f t="shared" si="56"/>
        <v>1.8E-10</v>
      </c>
      <c r="L107" s="18">
        <v>0.72</v>
      </c>
      <c r="M107" s="19">
        <f t="shared" si="57"/>
        <v>1.5671257684178822E-9</v>
      </c>
      <c r="N107" s="18">
        <f t="shared" si="58"/>
        <v>1.2427514287381399E-3</v>
      </c>
      <c r="O107" s="20">
        <f t="shared" si="59"/>
        <v>7981.4806743370837</v>
      </c>
      <c r="P107">
        <f t="shared" si="60"/>
        <v>1000</v>
      </c>
      <c r="Q107">
        <f t="shared" si="61"/>
        <v>0.4</v>
      </c>
      <c r="S107">
        <f t="shared" si="62"/>
        <v>3.5999999999999996</v>
      </c>
    </row>
    <row r="108" spans="1:19">
      <c r="B108" s="14">
        <f t="shared" si="51"/>
        <v>8.9999999999999995E-14</v>
      </c>
      <c r="C108" s="17">
        <v>0.04</v>
      </c>
      <c r="D108" s="14">
        <f t="shared" si="52"/>
        <v>15624.999999999998</v>
      </c>
      <c r="E108" s="17">
        <v>100000</v>
      </c>
      <c r="F108" s="14">
        <f t="shared" si="53"/>
        <v>4641588.8336127773</v>
      </c>
      <c r="G108" s="17">
        <v>0.05</v>
      </c>
      <c r="H108" s="14">
        <f t="shared" si="54"/>
        <v>54.28835233189811</v>
      </c>
      <c r="I108" s="17">
        <f>4*10^-6</f>
        <v>3.9999999999999998E-6</v>
      </c>
      <c r="J108" s="14">
        <f t="shared" si="55"/>
        <v>15749013.123685863</v>
      </c>
      <c r="K108" s="18">
        <f t="shared" si="56"/>
        <v>1.8E-10</v>
      </c>
      <c r="L108" s="18">
        <v>0.72</v>
      </c>
      <c r="M108" s="19">
        <f t="shared" si="57"/>
        <v>1.5671257684178822E-9</v>
      </c>
      <c r="N108" s="18">
        <f t="shared" si="58"/>
        <v>1.2427514287381399E-3</v>
      </c>
      <c r="O108" s="20">
        <f t="shared" si="59"/>
        <v>6935.4313780566736</v>
      </c>
      <c r="P108">
        <f t="shared" si="60"/>
        <v>1000</v>
      </c>
      <c r="Q108">
        <f t="shared" si="61"/>
        <v>0.4</v>
      </c>
      <c r="S108">
        <f t="shared" si="62"/>
        <v>4</v>
      </c>
    </row>
    <row r="109" spans="1:19">
      <c r="B109" s="14">
        <f t="shared" si="51"/>
        <v>8.9999999999999995E-14</v>
      </c>
      <c r="C109" s="17">
        <v>0.04</v>
      </c>
      <c r="D109" s="14">
        <f t="shared" si="52"/>
        <v>15624.999999999998</v>
      </c>
      <c r="E109" s="17">
        <v>100000</v>
      </c>
      <c r="F109" s="14">
        <f t="shared" si="53"/>
        <v>4641588.8336127773</v>
      </c>
      <c r="G109" s="17">
        <v>0.05</v>
      </c>
      <c r="H109" s="14">
        <f t="shared" si="54"/>
        <v>54.28835233189811</v>
      </c>
      <c r="I109" s="17">
        <f>4*10^-6</f>
        <v>3.9999999999999998E-6</v>
      </c>
      <c r="J109" s="14">
        <f t="shared" si="55"/>
        <v>15749013.123685863</v>
      </c>
      <c r="K109" s="18">
        <f t="shared" si="56"/>
        <v>1.8E-10</v>
      </c>
      <c r="L109" s="18">
        <v>0.72</v>
      </c>
      <c r="M109" s="19">
        <f t="shared" si="57"/>
        <v>1.5671257684178822E-9</v>
      </c>
      <c r="N109" s="18">
        <f t="shared" si="58"/>
        <v>1.2427514287381399E-3</v>
      </c>
      <c r="O109" s="20">
        <f t="shared" si="59"/>
        <v>6935.4313780566736</v>
      </c>
      <c r="P109">
        <f t="shared" si="60"/>
        <v>1000</v>
      </c>
      <c r="Q109">
        <f t="shared" si="61"/>
        <v>0.4</v>
      </c>
      <c r="S109">
        <f t="shared" si="62"/>
        <v>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ian</cp:lastModifiedBy>
  <dcterms:created xsi:type="dcterms:W3CDTF">2010-10-30T14:53:21Z</dcterms:created>
  <dcterms:modified xsi:type="dcterms:W3CDTF">2010-10-30T21:03:40Z</dcterms:modified>
</cp:coreProperties>
</file>