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14310" windowHeight="12240" firstSheet="4" activeTab="6"/>
  </bookViews>
  <sheets>
    <sheet name="Keeling" sheetId="1" r:id="rId1"/>
    <sheet name="Fig 3.18 b-d" sheetId="2" r:id="rId2"/>
    <sheet name="Fig 3.19b" sheetId="3" r:id="rId3"/>
    <sheet name="Fig 3.19c" sheetId="4" r:id="rId4"/>
    <sheet name="Fig 3.19a" sheetId="5" r:id="rId5"/>
    <sheet name="Cerl results and Ern data" sheetId="6" r:id="rId6"/>
    <sheet name="Cerling model original set-up" sheetId="7" r:id="rId7"/>
  </sheets>
  <externalReferences>
    <externalReference r:id="rId10"/>
    <externalReference r:id="rId11"/>
  </externalReferences>
  <definedNames>
    <definedName name="fred">'[1]DulRoz1990'!#REF!</definedName>
    <definedName name="RECORDER">'[2]Macro1'!$B:$B</definedName>
  </definedNames>
  <calcPr fullCalcOnLoad="1"/>
</workbook>
</file>

<file path=xl/comments6.xml><?xml version="1.0" encoding="utf-8"?>
<comments xmlns="http://schemas.openxmlformats.org/spreadsheetml/2006/main">
  <authors>
    <author>miorandi</author>
  </authors>
  <commentList>
    <comment ref="H39" authorId="0">
      <text>
        <r>
          <rPr>
            <b/>
            <sz val="8"/>
            <rFont val="Tahoma"/>
            <family val="2"/>
          </rPr>
          <t>miorandi:</t>
        </r>
        <r>
          <rPr>
            <sz val="8"/>
            <rFont val="Tahoma"/>
            <family val="2"/>
          </rPr>
          <t xml:space="preserve">
 corretto 13/02/07</t>
        </r>
      </text>
    </comment>
  </commentList>
</comments>
</file>

<file path=xl/sharedStrings.xml><?xml version="1.0" encoding="utf-8"?>
<sst xmlns="http://schemas.openxmlformats.org/spreadsheetml/2006/main" count="184" uniqueCount="95">
  <si>
    <t>d13C</t>
  </si>
  <si>
    <t>Respired CO2 production (Q) moles cm-2 sec-1</t>
  </si>
  <si>
    <r>
      <t>Q/L Production (</t>
    </r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s)moles cm-3 sec-1</t>
    </r>
  </si>
  <si>
    <r>
      <t>df  d</t>
    </r>
    <r>
      <rPr>
        <sz val="11"/>
        <color theme="1"/>
        <rFont val="Calibri"/>
        <family val="2"/>
      </rPr>
      <t>13C of respired CO2</t>
    </r>
  </si>
  <si>
    <r>
      <t>d</t>
    </r>
    <r>
      <rPr>
        <sz val="11"/>
        <color indexed="8"/>
        <rFont val="Calibri"/>
        <family val="2"/>
      </rPr>
      <t xml:space="preserve">a </t>
    </r>
    <r>
      <rPr>
        <sz val="11"/>
        <color indexed="8"/>
        <rFont val="Symbol"/>
        <family val="1"/>
      </rPr>
      <t xml:space="preserve"> d</t>
    </r>
    <r>
      <rPr>
        <sz val="11"/>
        <color theme="1"/>
        <rFont val="Calibri"/>
        <family val="2"/>
      </rPr>
      <t>13C of atm CO2</t>
    </r>
  </si>
  <si>
    <t>(pre-ind)</t>
  </si>
  <si>
    <t>(current)</t>
  </si>
  <si>
    <t>Ca* ppmv CO2 conc in atmosphere (pre-ind)</t>
  </si>
  <si>
    <t>Ca* ppmv CO2 conc in atmosphere (current)</t>
  </si>
  <si>
    <t>z (cm) soil depth</t>
  </si>
  <si>
    <t>* = bulk CO2</t>
  </si>
  <si>
    <t>s = soil</t>
  </si>
  <si>
    <t>Ratio of 13C/12C in PDB</t>
  </si>
  <si>
    <r>
      <t>d</t>
    </r>
    <r>
      <rPr>
        <sz val="11"/>
        <color indexed="8"/>
        <rFont val="Calibri"/>
        <family val="2"/>
      </rPr>
      <t>s</t>
    </r>
    <r>
      <rPr>
        <sz val="11"/>
        <color indexed="8"/>
        <rFont val="Symbol"/>
        <family val="1"/>
      </rPr>
      <t xml:space="preserve">  d</t>
    </r>
    <r>
      <rPr>
        <sz val="11"/>
        <color theme="1"/>
        <rFont val="Calibri"/>
        <family val="2"/>
      </rPr>
      <t>13C of soil air CO2</t>
    </r>
  </si>
  <si>
    <r>
      <t xml:space="preserve">R </t>
    </r>
    <r>
      <rPr>
        <sz val="11"/>
        <color indexed="8"/>
        <rFont val="Symbol"/>
        <family val="1"/>
      </rPr>
      <t xml:space="preserve">f </t>
    </r>
    <r>
      <rPr>
        <sz val="11"/>
        <color theme="1"/>
        <rFont val="Calibri"/>
        <family val="2"/>
      </rPr>
      <t xml:space="preserve"> </t>
    </r>
  </si>
  <si>
    <r>
      <t>Ds</t>
    </r>
    <r>
      <rPr>
        <sz val="11"/>
        <color indexed="8"/>
        <rFont val="Symbol"/>
        <family val="1"/>
      </rPr>
      <t xml:space="preserve">b </t>
    </r>
    <r>
      <rPr>
        <sz val="11"/>
        <color indexed="8"/>
        <rFont val="Calibri"/>
        <family val="2"/>
      </rPr>
      <t xml:space="preserve"> diffusion coefficient for 13C cm2 sec-1</t>
    </r>
  </si>
  <si>
    <t>Ds* diffusion coefficient in the soil</t>
  </si>
  <si>
    <r>
      <t>D</t>
    </r>
    <r>
      <rPr>
        <vertAlign val="subscript"/>
        <sz val="11"/>
        <color indexed="8"/>
        <rFont val="Calibri"/>
        <family val="2"/>
      </rPr>
      <t>air</t>
    </r>
    <r>
      <rPr>
        <sz val="11"/>
        <color theme="1"/>
        <rFont val="Calibri"/>
        <family val="2"/>
      </rPr>
      <t>, free air CO2 diffusion coefficient cm2 sec-1 at STP</t>
    </r>
  </si>
  <si>
    <t>Po</t>
  </si>
  <si>
    <t>atm</t>
  </si>
  <si>
    <t>To</t>
  </si>
  <si>
    <t>K</t>
  </si>
  <si>
    <t>ambient P</t>
  </si>
  <si>
    <t>ambient T</t>
  </si>
  <si>
    <r>
      <t xml:space="preserve">Free air porosity </t>
    </r>
    <r>
      <rPr>
        <sz val="11"/>
        <color indexed="8"/>
        <rFont val="Symbol"/>
        <family val="1"/>
      </rPr>
      <t>e</t>
    </r>
  </si>
  <si>
    <r>
      <t xml:space="preserve">Tortuosity </t>
    </r>
    <r>
      <rPr>
        <sz val="11"/>
        <color indexed="8"/>
        <rFont val="Symbol"/>
        <family val="1"/>
      </rPr>
      <t>r</t>
    </r>
  </si>
  <si>
    <t>Quade et al Geological Society of America Bulletin (1989) and Cerling EPSL (1984)</t>
  </si>
  <si>
    <r>
      <t>D</t>
    </r>
    <r>
      <rPr>
        <vertAlign val="subscript"/>
        <sz val="11"/>
        <color indexed="8"/>
        <rFont val="Calibri"/>
        <family val="2"/>
      </rPr>
      <t>air</t>
    </r>
    <r>
      <rPr>
        <sz val="11"/>
        <color theme="1"/>
        <rFont val="Calibri"/>
        <family val="2"/>
      </rPr>
      <t xml:space="preserve"> at T and P of interest</t>
    </r>
  </si>
  <si>
    <r>
      <t>d</t>
    </r>
    <r>
      <rPr>
        <vertAlign val="subscript"/>
        <sz val="11"/>
        <color indexed="8"/>
        <rFont val="Calibri"/>
        <family val="2"/>
      </rPr>
      <t>s</t>
    </r>
  </si>
  <si>
    <t>mmoles m-2 hr-1</t>
  </si>
  <si>
    <t>D12</t>
  </si>
  <si>
    <t>D13</t>
  </si>
  <si>
    <t>M12</t>
  </si>
  <si>
    <t>Mair</t>
  </si>
  <si>
    <t>M13</t>
  </si>
  <si>
    <t>D12/D13</t>
  </si>
  <si>
    <t>Dair =</t>
  </si>
  <si>
    <t>For 13C:</t>
  </si>
  <si>
    <t>--&gt;</t>
  </si>
  <si>
    <t>L (cm) impermeable barrier at 1 m</t>
  </si>
  <si>
    <t>Concentration (moles) of 1 atm gas in 1 cm3 at ambient T, P</t>
  </si>
  <si>
    <t>Concentration (moles) of 1 atm gas in 1 cm3 at STP (273 K and 1.013 atm)</t>
  </si>
  <si>
    <t>moles cm-3</t>
  </si>
  <si>
    <t>=E11*(1-F8)</t>
  </si>
  <si>
    <t>=E11*F8</t>
  </si>
  <si>
    <t>The term in [] is the absolute isotope ratio of the soil gas</t>
  </si>
  <si>
    <r>
      <t>d</t>
    </r>
    <r>
      <rPr>
        <vertAlign val="subscript"/>
        <sz val="11"/>
        <color indexed="8"/>
        <rFont val="Calibri"/>
        <family val="2"/>
      </rPr>
      <t>i</t>
    </r>
  </si>
  <si>
    <r>
      <t>Squiggle</t>
    </r>
    <r>
      <rPr>
        <sz val="11"/>
        <color indexed="8"/>
        <rFont val="Symbol"/>
        <family val="1"/>
      </rPr>
      <t xml:space="preserve"> d</t>
    </r>
    <r>
      <rPr>
        <vertAlign val="subscript"/>
        <sz val="11"/>
        <color indexed="8"/>
        <rFont val="Calibri"/>
        <family val="2"/>
      </rPr>
      <t>i</t>
    </r>
  </si>
  <si>
    <r>
      <t>This is equivalent to 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/(1+R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</si>
  <si>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A corrected procedure was published by Davidson (1995)</t>
  </si>
  <si>
    <r>
      <t>12C</t>
    </r>
    <r>
      <rPr>
        <vertAlign val="subscript"/>
        <sz val="11"/>
        <color indexed="8"/>
        <rFont val="Calibri"/>
        <family val="2"/>
      </rPr>
      <t xml:space="preserve"> a</t>
    </r>
  </si>
  <si>
    <r>
      <t xml:space="preserve">12C </t>
    </r>
    <r>
      <rPr>
        <vertAlign val="subscript"/>
        <sz val="11"/>
        <color indexed="8"/>
        <rFont val="Calibri"/>
        <family val="2"/>
      </rPr>
      <t>s</t>
    </r>
  </si>
  <si>
    <r>
      <t>d</t>
    </r>
    <r>
      <rPr>
        <vertAlign val="subscript"/>
        <sz val="11"/>
        <color indexed="8"/>
        <rFont val="Calibri"/>
        <family val="2"/>
      </rPr>
      <t>j</t>
    </r>
  </si>
  <si>
    <r>
      <t>d</t>
    </r>
    <r>
      <rPr>
        <vertAlign val="subscript"/>
        <sz val="11"/>
        <color indexed="8"/>
        <rFont val="Calibri"/>
        <family val="2"/>
      </rPr>
      <t>a</t>
    </r>
  </si>
  <si>
    <t xml:space="preserve">Production mmol m-2 hr -1: </t>
  </si>
  <si>
    <t>ambient P (atm)</t>
  </si>
  <si>
    <t>Ca* ppmv CO2 conc in atmosphere</t>
  </si>
  <si>
    <r>
      <t>Soil gas</t>
    </r>
    <r>
      <rPr>
        <sz val="16"/>
        <color indexed="8"/>
        <rFont val="Symbol"/>
        <family val="1"/>
      </rPr>
      <t xml:space="preserve"> d</t>
    </r>
    <r>
      <rPr>
        <vertAlign val="subscript"/>
        <sz val="16"/>
        <color indexed="8"/>
        <rFont val="Calibri"/>
        <family val="2"/>
      </rPr>
      <t>s</t>
    </r>
  </si>
  <si>
    <r>
      <t>d</t>
    </r>
    <r>
      <rPr>
        <sz val="11"/>
        <color indexed="8"/>
        <rFont val="Calibri"/>
        <family val="2"/>
      </rPr>
      <t xml:space="preserve">a </t>
    </r>
    <r>
      <rPr>
        <sz val="11"/>
        <color indexed="8"/>
        <rFont val="Symbol"/>
        <family val="1"/>
      </rPr>
      <t xml:space="preserve"> d</t>
    </r>
    <r>
      <rPr>
        <vertAlign val="superscript"/>
        <sz val="11"/>
        <color indexed="8"/>
        <rFont val="Calibri"/>
        <family val="2"/>
      </rPr>
      <t>13</t>
    </r>
    <r>
      <rPr>
        <sz val="11"/>
        <color theme="1"/>
        <rFont val="Calibri"/>
        <family val="2"/>
      </rPr>
      <t>C of atm CO2</t>
    </r>
  </si>
  <si>
    <t>Depth (L) cm  (impermeable barrier below)</t>
  </si>
  <si>
    <t>Depth (z) cm</t>
  </si>
  <si>
    <t>L (cm) impermeable barrier depth</t>
  </si>
  <si>
    <t>logPCO2</t>
  </si>
  <si>
    <t>Soil gas ds</t>
  </si>
  <si>
    <t>C s</t>
  </si>
  <si>
    <t>Productivity 5 mmol m-2 hr-1</t>
  </si>
  <si>
    <t>Productivity 1 mmol m-2 hr-1</t>
  </si>
  <si>
    <t>CO2 correzioni QUOTA</t>
  </si>
  <si>
    <t>0.5m</t>
  </si>
  <si>
    <t>1m</t>
  </si>
  <si>
    <t>1.5m</t>
  </si>
  <si>
    <t>ppm</t>
  </si>
  <si>
    <t>‰</t>
  </si>
  <si>
    <t>Productivity 10 mmol m-2 hr-1</t>
  </si>
  <si>
    <t>RESPIRED CO2 -29</t>
  </si>
  <si>
    <t>RESPIRED CO2 -27</t>
  </si>
  <si>
    <t>]</t>
  </si>
  <si>
    <r>
      <t>If C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is unknown but the soil isotope composition is known:</t>
    </r>
  </si>
  <si>
    <t>Cerling (1984) method for getting concentrations:</t>
  </si>
  <si>
    <t>Cs Cerling</t>
  </si>
  <si>
    <t>Conv factor</t>
  </si>
  <si>
    <t>Conv factor for conc</t>
  </si>
  <si>
    <r>
      <t xml:space="preserve">gives same concs even if </t>
    </r>
    <r>
      <rPr>
        <sz val="11"/>
        <color indexed="8"/>
        <rFont val="Symbol"/>
        <family val="1"/>
      </rPr>
      <t>d</t>
    </r>
    <r>
      <rPr>
        <vertAlign val="subscript"/>
        <sz val="11"/>
        <color indexed="8"/>
        <rFont val="Calibri"/>
        <family val="2"/>
      </rPr>
      <t xml:space="preserve">j </t>
    </r>
    <r>
      <rPr>
        <sz val="11"/>
        <color theme="1"/>
        <rFont val="Calibri"/>
        <family val="2"/>
      </rPr>
      <t>is varied as expected</t>
    </r>
  </si>
  <si>
    <r>
      <t xml:space="preserve">C </t>
    </r>
    <r>
      <rPr>
        <vertAlign val="subscript"/>
        <sz val="14"/>
        <color indexed="22"/>
        <rFont val="Calibri"/>
        <family val="2"/>
      </rPr>
      <t xml:space="preserve">s </t>
    </r>
    <r>
      <rPr>
        <sz val="14"/>
        <color indexed="22"/>
        <rFont val="Calibri"/>
        <family val="2"/>
      </rPr>
      <t>using Davidson</t>
    </r>
  </si>
  <si>
    <r>
      <t xml:space="preserve">C </t>
    </r>
    <r>
      <rPr>
        <vertAlign val="subscript"/>
        <sz val="14"/>
        <color indexed="55"/>
        <rFont val="Calibri"/>
        <family val="2"/>
      </rPr>
      <t xml:space="preserve">s </t>
    </r>
    <r>
      <rPr>
        <sz val="14"/>
        <color indexed="55"/>
        <rFont val="Calibri"/>
        <family val="2"/>
      </rPr>
      <t>using Davidson</t>
    </r>
  </si>
  <si>
    <t>RESPIRED CO2 -13.5</t>
  </si>
  <si>
    <r>
      <t xml:space="preserve">?but this method gives different concs if </t>
    </r>
    <r>
      <rPr>
        <b/>
        <sz val="11"/>
        <color indexed="8"/>
        <rFont val="Symbol"/>
        <family val="1"/>
      </rPr>
      <t>d</t>
    </r>
    <r>
      <rPr>
        <b/>
        <vertAlign val="subscript"/>
        <sz val="11"/>
        <color indexed="8"/>
        <rFont val="Calibri"/>
        <family val="2"/>
      </rPr>
      <t xml:space="preserve">j </t>
    </r>
    <r>
      <rPr>
        <b/>
        <sz val="11"/>
        <color indexed="8"/>
        <rFont val="Calibri"/>
        <family val="2"/>
      </rPr>
      <t>is varied</t>
    </r>
  </si>
  <si>
    <t>For this reason it is not used herein</t>
  </si>
  <si>
    <t>RESPIRED CO2 -27.7</t>
  </si>
  <si>
    <t>Porosity reduced from 0.24 to 0.1</t>
  </si>
  <si>
    <t>Productivity 1 and respired CO2 -29</t>
  </si>
  <si>
    <t>these lie in the same place on an isotope-conc crossplot</t>
  </si>
  <si>
    <t>Productivity 0.4 and respired CO2 -29</t>
  </si>
  <si>
    <t xml:space="preserve">These are virtually identical to porosity 0.24 and productivity 1 </t>
  </si>
  <si>
    <t>1/ppm CO2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</si>
</sst>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&quot;$&quot;#,##0.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\±0"/>
    <numFmt numFmtId="180" formatCode="\±0.00"/>
    <numFmt numFmtId="181" formatCode="0.00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11"/>
      <color indexed="8"/>
      <name val="Symbol"/>
      <family val="1"/>
    </font>
    <font>
      <b/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6"/>
      <color indexed="8"/>
      <name val="Symbol"/>
      <family val="1"/>
    </font>
    <font>
      <vertAlign val="subscript"/>
      <sz val="16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4"/>
      <color indexed="22"/>
      <name val="Calibri"/>
      <family val="2"/>
    </font>
    <font>
      <vertAlign val="subscript"/>
      <sz val="14"/>
      <color indexed="22"/>
      <name val="Calibri"/>
      <family val="2"/>
    </font>
    <font>
      <sz val="11"/>
      <color indexed="22"/>
      <name val="Calibri"/>
      <family val="2"/>
    </font>
    <font>
      <sz val="14"/>
      <color indexed="55"/>
      <name val="Calibri"/>
      <family val="2"/>
    </font>
    <font>
      <vertAlign val="subscript"/>
      <sz val="14"/>
      <color indexed="55"/>
      <name val="Calibri"/>
      <family val="2"/>
    </font>
    <font>
      <sz val="11"/>
      <color indexed="55"/>
      <name val="Calibri"/>
      <family val="2"/>
    </font>
    <font>
      <b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Arial"/>
      <family val="0"/>
    </font>
    <font>
      <vertAlign val="subscript"/>
      <sz val="16"/>
      <color indexed="8"/>
      <name val="Arial"/>
      <family val="0"/>
    </font>
    <font>
      <sz val="20"/>
      <color indexed="8"/>
      <name val="Symbol"/>
      <family val="0"/>
    </font>
    <font>
      <vertAlign val="superscript"/>
      <sz val="20"/>
      <color indexed="8"/>
      <name val="Arial"/>
      <family val="0"/>
    </font>
    <font>
      <sz val="13.5"/>
      <color indexed="8"/>
      <name val="Arial"/>
      <family val="0"/>
    </font>
    <font>
      <sz val="18"/>
      <color indexed="8"/>
      <name val="Symbol"/>
      <family val="0"/>
    </font>
    <font>
      <vertAlign val="superscript"/>
      <sz val="18"/>
      <color indexed="8"/>
      <name val="Arial"/>
      <family val="0"/>
    </font>
    <font>
      <sz val="18"/>
      <color indexed="8"/>
      <name val="Arial"/>
      <family val="0"/>
    </font>
    <font>
      <sz val="18"/>
      <color indexed="9"/>
      <name val="Arial"/>
      <family val="0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sz val="2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6"/>
      <color indexed="9"/>
      <name val="Arial"/>
      <family val="0"/>
    </font>
    <font>
      <vertAlign val="subscript"/>
      <sz val="14"/>
      <color indexed="8"/>
      <name val="Arial"/>
      <family val="0"/>
    </font>
    <font>
      <sz val="36"/>
      <color indexed="8"/>
      <name val="Arial"/>
      <family val="0"/>
    </font>
    <font>
      <sz val="14.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38" fontId="10" fillId="0" borderId="0" applyFont="0" applyFill="0" applyBorder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6" fontId="1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36" borderId="0" xfId="0" applyFill="1" applyAlignment="1">
      <alignment/>
    </xf>
    <xf numFmtId="178" fontId="0" fillId="36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Alignment="1">
      <alignment/>
    </xf>
    <xf numFmtId="0" fontId="11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6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11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8" fillId="36" borderId="0" xfId="0" applyFont="1" applyFill="1" applyBorder="1" applyAlignment="1">
      <alignment wrapText="1"/>
    </xf>
    <xf numFmtId="0" fontId="21" fillId="36" borderId="0" xfId="0" applyFont="1" applyFill="1" applyBorder="1" applyAlignment="1">
      <alignment/>
    </xf>
    <xf numFmtId="0" fontId="0" fillId="36" borderId="14" xfId="0" applyFill="1" applyBorder="1" applyAlignment="1">
      <alignment wrapText="1"/>
    </xf>
    <xf numFmtId="2" fontId="19" fillId="36" borderId="0" xfId="0" applyNumberFormat="1" applyFont="1" applyFill="1" applyBorder="1" applyAlignment="1">
      <alignment/>
    </xf>
    <xf numFmtId="1" fontId="0" fillId="36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18" fillId="37" borderId="0" xfId="0" applyFont="1" applyFill="1" applyBorder="1" applyAlignment="1">
      <alignment wrapText="1"/>
    </xf>
    <xf numFmtId="0" fontId="21" fillId="37" borderId="0" xfId="0" applyFont="1" applyFill="1" applyBorder="1" applyAlignment="1">
      <alignment/>
    </xf>
    <xf numFmtId="0" fontId="0" fillId="37" borderId="14" xfId="0" applyFill="1" applyBorder="1" applyAlignment="1">
      <alignment wrapText="1"/>
    </xf>
    <xf numFmtId="2" fontId="19" fillId="37" borderId="0" xfId="0" applyNumberFormat="1" applyFont="1" applyFill="1" applyBorder="1" applyAlignment="1">
      <alignment/>
    </xf>
    <xf numFmtId="1" fontId="0" fillId="37" borderId="0" xfId="0" applyNumberFormat="1" applyFill="1" applyBorder="1" applyAlignment="1">
      <alignment/>
    </xf>
    <xf numFmtId="2" fontId="0" fillId="37" borderId="14" xfId="0" applyNumberFormat="1" applyFill="1" applyBorder="1" applyAlignment="1">
      <alignment/>
    </xf>
    <xf numFmtId="0" fontId="7" fillId="0" borderId="0" xfId="66">
      <alignment/>
      <protection/>
    </xf>
    <xf numFmtId="0" fontId="23" fillId="0" borderId="21" xfId="64" applyFont="1" applyBorder="1" applyAlignment="1">
      <alignment horizontal="center" vertical="center" wrapText="1"/>
      <protection/>
    </xf>
    <xf numFmtId="0" fontId="23" fillId="0" borderId="22" xfId="64" applyFont="1" applyBorder="1" applyAlignment="1">
      <alignment horizontal="center" vertical="center" wrapText="1"/>
      <protection/>
    </xf>
    <xf numFmtId="0" fontId="23" fillId="0" borderId="23" xfId="64" applyFont="1" applyBorder="1" applyAlignment="1">
      <alignment horizontal="center" vertical="center" wrapText="1"/>
      <protection/>
    </xf>
    <xf numFmtId="0" fontId="5" fillId="0" borderId="24" xfId="67" applyFont="1" applyBorder="1">
      <alignment/>
      <protection/>
    </xf>
    <xf numFmtId="0" fontId="5" fillId="0" borderId="20" xfId="67" applyFont="1" applyBorder="1">
      <alignment/>
      <protection/>
    </xf>
    <xf numFmtId="0" fontId="5" fillId="0" borderId="18" xfId="67" applyFont="1" applyBorder="1">
      <alignment/>
      <protection/>
    </xf>
    <xf numFmtId="0" fontId="23" fillId="0" borderId="24" xfId="64" applyFont="1" applyBorder="1" applyAlignment="1">
      <alignment horizontal="center"/>
      <protection/>
    </xf>
    <xf numFmtId="0" fontId="23" fillId="0" borderId="20" xfId="64" applyFont="1" applyBorder="1" applyAlignment="1">
      <alignment horizontal="center"/>
      <protection/>
    </xf>
    <xf numFmtId="0" fontId="23" fillId="0" borderId="25" xfId="64" applyFont="1" applyBorder="1" applyAlignment="1">
      <alignment horizontal="center"/>
      <protection/>
    </xf>
    <xf numFmtId="0" fontId="7" fillId="0" borderId="24" xfId="66" applyBorder="1">
      <alignment/>
      <protection/>
    </xf>
    <xf numFmtId="0" fontId="7" fillId="0" borderId="20" xfId="66" applyBorder="1">
      <alignment/>
      <protection/>
    </xf>
    <xf numFmtId="0" fontId="7" fillId="0" borderId="18" xfId="66" applyBorder="1">
      <alignment/>
      <protection/>
    </xf>
    <xf numFmtId="0" fontId="7" fillId="0" borderId="24" xfId="66" applyBorder="1" applyAlignment="1">
      <alignment horizontal="center"/>
      <protection/>
    </xf>
    <xf numFmtId="0" fontId="7" fillId="0" borderId="20" xfId="66" applyFill="1" applyBorder="1" applyAlignment="1">
      <alignment horizontal="center"/>
      <protection/>
    </xf>
    <xf numFmtId="0" fontId="7" fillId="0" borderId="25" xfId="66" applyBorder="1" applyAlignment="1">
      <alignment horizontal="center"/>
      <protection/>
    </xf>
    <xf numFmtId="14" fontId="8" fillId="0" borderId="0" xfId="66" applyNumberFormat="1" applyFont="1" applyBorder="1" applyAlignment="1">
      <alignment vertical="top"/>
      <protection/>
    </xf>
    <xf numFmtId="0" fontId="7" fillId="0" borderId="26" xfId="66" applyBorder="1">
      <alignment/>
      <protection/>
    </xf>
    <xf numFmtId="0" fontId="7" fillId="0" borderId="0" xfId="66" applyBorder="1">
      <alignment/>
      <protection/>
    </xf>
    <xf numFmtId="0" fontId="7" fillId="0" borderId="26" xfId="66" applyBorder="1" applyAlignment="1">
      <alignment horizontal="center"/>
      <protection/>
    </xf>
    <xf numFmtId="0" fontId="7" fillId="0" borderId="0" xfId="66" applyFill="1" applyBorder="1" applyAlignment="1">
      <alignment horizontal="center"/>
      <protection/>
    </xf>
    <xf numFmtId="1" fontId="8" fillId="0" borderId="0" xfId="65" applyNumberFormat="1" applyFont="1" applyBorder="1" applyAlignment="1">
      <alignment horizontal="center"/>
      <protection/>
    </xf>
    <xf numFmtId="170" fontId="24" fillId="0" borderId="26" xfId="66" applyNumberFormat="1" applyFont="1" applyBorder="1" applyAlignment="1">
      <alignment horizontal="center" wrapText="1"/>
      <protection/>
    </xf>
    <xf numFmtId="170" fontId="24" fillId="0" borderId="0" xfId="66" applyNumberFormat="1" applyFont="1" applyBorder="1" applyAlignment="1">
      <alignment horizontal="center" wrapText="1"/>
      <protection/>
    </xf>
    <xf numFmtId="2" fontId="7" fillId="0" borderId="26" xfId="64" applyNumberFormat="1" applyFont="1" applyBorder="1">
      <alignment/>
      <protection/>
    </xf>
    <xf numFmtId="2" fontId="7" fillId="0" borderId="0" xfId="64" applyNumberFormat="1" applyFont="1" applyBorder="1">
      <alignment/>
      <protection/>
    </xf>
    <xf numFmtId="2" fontId="7" fillId="0" borderId="27" xfId="64" applyNumberFormat="1" applyFont="1" applyBorder="1">
      <alignment/>
      <protection/>
    </xf>
    <xf numFmtId="0" fontId="7" fillId="0" borderId="26" xfId="64" applyFont="1" applyBorder="1">
      <alignment/>
      <protection/>
    </xf>
    <xf numFmtId="0" fontId="7" fillId="0" borderId="0" xfId="64" applyFont="1" applyBorder="1">
      <alignment/>
      <protection/>
    </xf>
    <xf numFmtId="0" fontId="7" fillId="0" borderId="27" xfId="64" applyFont="1" applyBorder="1">
      <alignment/>
      <protection/>
    </xf>
    <xf numFmtId="170" fontId="24" fillId="0" borderId="28" xfId="66" applyNumberFormat="1" applyFont="1" applyBorder="1" applyAlignment="1">
      <alignment horizontal="center" wrapText="1"/>
      <protection/>
    </xf>
    <xf numFmtId="170" fontId="24" fillId="0" borderId="29" xfId="66" applyNumberFormat="1" applyFont="1" applyBorder="1" applyAlignment="1">
      <alignment horizontal="center" wrapText="1"/>
      <protection/>
    </xf>
    <xf numFmtId="0" fontId="7" fillId="0" borderId="28" xfId="64" applyFont="1" applyBorder="1">
      <alignment/>
      <protection/>
    </xf>
    <xf numFmtId="0" fontId="7" fillId="0" borderId="29" xfId="64" applyFont="1" applyBorder="1">
      <alignment/>
      <protection/>
    </xf>
    <xf numFmtId="0" fontId="7" fillId="0" borderId="30" xfId="64" applyFont="1" applyBorder="1">
      <alignment/>
      <protection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33" borderId="14" xfId="0" applyFill="1" applyBorder="1" applyAlignment="1">
      <alignment/>
    </xf>
    <xf numFmtId="2" fontId="0" fillId="0" borderId="16" xfId="0" applyNumberFormat="1" applyBorder="1" applyAlignment="1">
      <alignment/>
    </xf>
    <xf numFmtId="0" fontId="0" fillId="33" borderId="17" xfId="0" applyFill="1" applyBorder="1" applyAlignment="1">
      <alignment/>
    </xf>
    <xf numFmtId="11" fontId="0" fillId="0" borderId="0" xfId="0" applyNumberFormat="1" applyAlignment="1">
      <alignment/>
    </xf>
    <xf numFmtId="1" fontId="0" fillId="33" borderId="0" xfId="0" applyNumberFormat="1" applyFill="1" applyBorder="1" applyAlignment="1">
      <alignment/>
    </xf>
    <xf numFmtId="0" fontId="25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" fontId="27" fillId="0" borderId="13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1" fontId="27" fillId="0" borderId="15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" fontId="30" fillId="0" borderId="13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1" fontId="30" fillId="0" borderId="15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0" fontId="0" fillId="36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2" fontId="0" fillId="37" borderId="0" xfId="0" applyNumberFormat="1" applyFill="1" applyBorder="1" applyAlignment="1">
      <alignment/>
    </xf>
    <xf numFmtId="0" fontId="5" fillId="0" borderId="19" xfId="67" applyFont="1" applyBorder="1">
      <alignment/>
      <protection/>
    </xf>
    <xf numFmtId="0" fontId="7" fillId="0" borderId="19" xfId="66" applyBorder="1">
      <alignment/>
      <protection/>
    </xf>
    <xf numFmtId="1" fontId="22" fillId="0" borderId="22" xfId="67" applyNumberFormat="1" applyFont="1" applyFill="1" applyBorder="1" applyAlignment="1">
      <alignment horizontal="center"/>
      <protection/>
    </xf>
    <xf numFmtId="0" fontId="5" fillId="0" borderId="31" xfId="67" applyFont="1" applyBorder="1">
      <alignment/>
      <protection/>
    </xf>
    <xf numFmtId="0" fontId="7" fillId="0" borderId="31" xfId="66" applyBorder="1">
      <alignment/>
      <protection/>
    </xf>
    <xf numFmtId="174" fontId="24" fillId="0" borderId="0" xfId="66" applyNumberFormat="1" applyFont="1" applyBorder="1" applyAlignment="1">
      <alignment horizontal="center" wrapText="1"/>
      <protection/>
    </xf>
    <xf numFmtId="1" fontId="22" fillId="0" borderId="32" xfId="67" applyNumberFormat="1" applyFont="1" applyFill="1" applyBorder="1" applyAlignment="1">
      <alignment horizontal="center"/>
      <protection/>
    </xf>
    <xf numFmtId="1" fontId="22" fillId="0" borderId="33" xfId="67" applyNumberFormat="1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gliaia (0)_$$-AQUAPAST" xfId="55"/>
    <cellStyle name="Neutral" xfId="56"/>
    <cellStyle name="Normal 2" xfId="57"/>
    <cellStyle name="Normal 4" xfId="58"/>
    <cellStyle name="Normal 5" xfId="59"/>
    <cellStyle name="Normal 6" xfId="60"/>
    <cellStyle name="Normal 7" xfId="61"/>
    <cellStyle name="Normal 8" xfId="62"/>
    <cellStyle name="Normale_ACQ-ER" xfId="63"/>
    <cellStyle name="Normale_Dic-grafici_DB" xfId="64"/>
    <cellStyle name="Normale_ER_elaborazioni_B" xfId="65"/>
    <cellStyle name="Normale_ER_SOIL_PERIODIC" xfId="66"/>
    <cellStyle name="Normale_Valori CO2 e H2O_Daminano" xfId="67"/>
    <cellStyle name="Note" xfId="68"/>
    <cellStyle name="Output" xfId="69"/>
    <cellStyle name="Percent" xfId="70"/>
    <cellStyle name="Standard_Export (Box10)" xfId="71"/>
    <cellStyle name="Title" xfId="72"/>
    <cellStyle name="Total" xfId="73"/>
    <cellStyle name="Valuta (0)_$$-AQUAPAST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815"/>
          <c:w val="0.84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data'!$F$42:$F$73</c:f>
              <c:numCache>
                <c:ptCount val="32"/>
                <c:pt idx="0">
                  <c:v>0.00037942645092064054</c:v>
                </c:pt>
                <c:pt idx="1">
                  <c:v>0.00019386326379291447</c:v>
                </c:pt>
                <c:pt idx="2">
                  <c:v>0.00016206458411027042</c:v>
                </c:pt>
                <c:pt idx="3">
                  <c:v>0.0001470098203356368</c:v>
                </c:pt>
                <c:pt idx="4">
                  <c:v>0.0001159914194575252</c:v>
                </c:pt>
                <c:pt idx="6">
                  <c:v>0.00012288794472054747</c:v>
                </c:pt>
                <c:pt idx="7">
                  <c:v>0.00035266562211253754</c:v>
                </c:pt>
                <c:pt idx="8">
                  <c:v>0.0012441484811733195</c:v>
                </c:pt>
                <c:pt idx="9">
                  <c:v>0.0009547281869035873</c:v>
                </c:pt>
                <c:pt idx="10">
                  <c:v>0.000669014874326069</c:v>
                </c:pt>
                <c:pt idx="11">
                  <c:v>0.0006149525370187562</c:v>
                </c:pt>
                <c:pt idx="12">
                  <c:v>0.00023092577752377013</c:v>
                </c:pt>
                <c:pt idx="13">
                  <c:v>0.00015659386687350184</c:v>
                </c:pt>
                <c:pt idx="14">
                  <c:v>0.00010070527827892572</c:v>
                </c:pt>
                <c:pt idx="15">
                  <c:v>0.00012817572847105286</c:v>
                </c:pt>
                <c:pt idx="16">
                  <c:v>0.00011881508715466058</c:v>
                </c:pt>
                <c:pt idx="17">
                  <c:v>0.00010640041509161387</c:v>
                </c:pt>
                <c:pt idx="18">
                  <c:v>0.00013131170720926462</c:v>
                </c:pt>
                <c:pt idx="19">
                  <c:v>0.0005834325027969734</c:v>
                </c:pt>
                <c:pt idx="20">
                  <c:v>0.0006742544521224092</c:v>
                </c:pt>
                <c:pt idx="21">
                  <c:v>0.0007206317867719651</c:v>
                </c:pt>
                <c:pt idx="22">
                  <c:v>0.0007370845672918726</c:v>
                </c:pt>
                <c:pt idx="23">
                  <c:v>0.0005447926949654499</c:v>
                </c:pt>
                <c:pt idx="24">
                  <c:v>0.00040943919522399316</c:v>
                </c:pt>
                <c:pt idx="25">
                  <c:v>0.00018441116548696736</c:v>
                </c:pt>
                <c:pt idx="26">
                  <c:v>0.00011146238144626204</c:v>
                </c:pt>
                <c:pt idx="27">
                  <c:v>0.00012106504332565543</c:v>
                </c:pt>
                <c:pt idx="28">
                  <c:v>0.0001347103045029996</c:v>
                </c:pt>
                <c:pt idx="29">
                  <c:v>0.00015830566274791348</c:v>
                </c:pt>
                <c:pt idx="30">
                  <c:v>0.00014692333004277737</c:v>
                </c:pt>
                <c:pt idx="31">
                  <c:v>0.00028150176734706894</c:v>
                </c:pt>
              </c:numCache>
            </c:numRef>
          </c:xVal>
          <c:yVal>
            <c:numRef>
              <c:f>'Cerl results and Ern data'!$L$42:$L$73</c:f>
              <c:numCache>
                <c:ptCount val="32"/>
                <c:pt idx="0">
                  <c:v>-21.457655</c:v>
                </c:pt>
                <c:pt idx="1">
                  <c:v>-22.403</c:v>
                </c:pt>
                <c:pt idx="2">
                  <c:v>-22.504649999999998</c:v>
                </c:pt>
                <c:pt idx="3">
                  <c:v>-22.70795</c:v>
                </c:pt>
                <c:pt idx="4">
                  <c:v>-23.19587</c:v>
                </c:pt>
                <c:pt idx="7">
                  <c:v>-23.775275</c:v>
                </c:pt>
                <c:pt idx="8">
                  <c:v>-22.504649999999998</c:v>
                </c:pt>
                <c:pt idx="9">
                  <c:v>-21.843925</c:v>
                </c:pt>
                <c:pt idx="10">
                  <c:v>-21.244189999999996</c:v>
                </c:pt>
                <c:pt idx="11">
                  <c:v>-20.53</c:v>
                </c:pt>
                <c:pt idx="12">
                  <c:v>-20.63</c:v>
                </c:pt>
                <c:pt idx="13">
                  <c:v>-21.55</c:v>
                </c:pt>
                <c:pt idx="14">
                  <c:v>-22.3</c:v>
                </c:pt>
                <c:pt idx="15">
                  <c:v>-22.93</c:v>
                </c:pt>
                <c:pt idx="16">
                  <c:v>-22.37</c:v>
                </c:pt>
                <c:pt idx="17">
                  <c:v>-23.17</c:v>
                </c:pt>
                <c:pt idx="18">
                  <c:v>-23.45</c:v>
                </c:pt>
                <c:pt idx="19">
                  <c:v>-23.49</c:v>
                </c:pt>
                <c:pt idx="20">
                  <c:v>-21.59</c:v>
                </c:pt>
                <c:pt idx="21">
                  <c:v>-21.21</c:v>
                </c:pt>
                <c:pt idx="22">
                  <c:v>-20.31</c:v>
                </c:pt>
                <c:pt idx="23">
                  <c:v>-20.14</c:v>
                </c:pt>
                <c:pt idx="24">
                  <c:v>-20.47</c:v>
                </c:pt>
                <c:pt idx="25">
                  <c:v>-21.26</c:v>
                </c:pt>
                <c:pt idx="26">
                  <c:v>-22.73</c:v>
                </c:pt>
                <c:pt idx="27">
                  <c:v>-23.1</c:v>
                </c:pt>
                <c:pt idx="28">
                  <c:v>-23.12</c:v>
                </c:pt>
                <c:pt idx="29">
                  <c:v>-23.8</c:v>
                </c:pt>
                <c:pt idx="30">
                  <c:v>-23.78</c:v>
                </c:pt>
                <c:pt idx="31">
                  <c:v>-24.42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data'!$J$42:$J$73</c:f>
              <c:numCache>
                <c:ptCount val="32"/>
                <c:pt idx="0">
                  <c:v>0.0003490723348469892</c:v>
                </c:pt>
                <c:pt idx="1">
                  <c:v>0.0003634936196117144</c:v>
                </c:pt>
                <c:pt idx="2">
                  <c:v>0.0003365956746905612</c:v>
                </c:pt>
                <c:pt idx="3">
                  <c:v>0.00023212076895100538</c:v>
                </c:pt>
                <c:pt idx="4">
                  <c:v>0.00019943589877052857</c:v>
                </c:pt>
                <c:pt idx="6">
                  <c:v>9.022865320778073E-05</c:v>
                </c:pt>
                <c:pt idx="7">
                  <c:v>0.0001469440092135571</c:v>
                </c:pt>
                <c:pt idx="8">
                  <c:v>0.0003375596654346212</c:v>
                </c:pt>
                <c:pt idx="9">
                  <c:v>0.0003967519525985076</c:v>
                </c:pt>
                <c:pt idx="10">
                  <c:v>0.0002805546247173837</c:v>
                </c:pt>
                <c:pt idx="11">
                  <c:v>0.00026904173494570583</c:v>
                </c:pt>
                <c:pt idx="12">
                  <c:v>0.0003510071818361303</c:v>
                </c:pt>
                <c:pt idx="13">
                  <c:v>0.00035077026179664364</c:v>
                </c:pt>
                <c:pt idx="14">
                  <c:v>0.0003809286613159363</c:v>
                </c:pt>
                <c:pt idx="15">
                  <c:v>0.00020752260800075212</c:v>
                </c:pt>
                <c:pt idx="16">
                  <c:v>0.0002282500358497428</c:v>
                </c:pt>
                <c:pt idx="17">
                  <c:v>0.00011480044786200448</c:v>
                </c:pt>
                <c:pt idx="18">
                  <c:v>8.146189243537713E-05</c:v>
                </c:pt>
                <c:pt idx="19">
                  <c:v>0.00014833029732126427</c:v>
                </c:pt>
                <c:pt idx="20">
                  <c:v>0.00020384436924630962</c:v>
                </c:pt>
                <c:pt idx="21">
                  <c:v>0.00029819246349184735</c:v>
                </c:pt>
                <c:pt idx="22">
                  <c:v>0.0003275931410186099</c:v>
                </c:pt>
                <c:pt idx="23">
                  <c:v>0.00037898622258466033</c:v>
                </c:pt>
                <c:pt idx="24">
                  <c:v>0.00029649045171392587</c:v>
                </c:pt>
                <c:pt idx="25">
                  <c:v>0.00029887326820301596</c:v>
                </c:pt>
                <c:pt idx="26">
                  <c:v>0.00036689700559394537</c:v>
                </c:pt>
                <c:pt idx="27">
                  <c:v>0.0002905561039815729</c:v>
                </c:pt>
                <c:pt idx="28">
                  <c:v>0.00023665323764040445</c:v>
                </c:pt>
                <c:pt idx="29">
                  <c:v>9.7829342147587E-05</c:v>
                </c:pt>
                <c:pt idx="30">
                  <c:v>9.581956307137646E-05</c:v>
                </c:pt>
                <c:pt idx="31">
                  <c:v>0.00012466506839655902</c:v>
                </c:pt>
              </c:numCache>
            </c:numRef>
          </c:xVal>
          <c:yVal>
            <c:numRef>
              <c:f>'Cerl results and Ern data'!$M$42:$M$73</c:f>
              <c:numCache>
                <c:ptCount val="32"/>
                <c:pt idx="0">
                  <c:v>-21.85409</c:v>
                </c:pt>
                <c:pt idx="1">
                  <c:v>-22.189534999999996</c:v>
                </c:pt>
                <c:pt idx="2">
                  <c:v>-22.636795</c:v>
                </c:pt>
                <c:pt idx="3">
                  <c:v>-23.19587</c:v>
                </c:pt>
                <c:pt idx="4">
                  <c:v>-24.425834999999996</c:v>
                </c:pt>
                <c:pt idx="7">
                  <c:v>-24.110719999999997</c:v>
                </c:pt>
                <c:pt idx="8">
                  <c:v>-23.0129</c:v>
                </c:pt>
                <c:pt idx="9">
                  <c:v>-22.494484999999997</c:v>
                </c:pt>
                <c:pt idx="10">
                  <c:v>-22.331844999999998</c:v>
                </c:pt>
                <c:pt idx="11">
                  <c:v>-22.23</c:v>
                </c:pt>
                <c:pt idx="12">
                  <c:v>-21.97</c:v>
                </c:pt>
                <c:pt idx="13">
                  <c:v>-22.06</c:v>
                </c:pt>
                <c:pt idx="14">
                  <c:v>-22.76</c:v>
                </c:pt>
                <c:pt idx="15">
                  <c:v>-23.38</c:v>
                </c:pt>
                <c:pt idx="16">
                  <c:v>-23.57</c:v>
                </c:pt>
                <c:pt idx="17">
                  <c:v>-24.44</c:v>
                </c:pt>
                <c:pt idx="18">
                  <c:v>-24.33</c:v>
                </c:pt>
                <c:pt idx="19">
                  <c:v>-24.06</c:v>
                </c:pt>
                <c:pt idx="20">
                  <c:v>-23.03</c:v>
                </c:pt>
                <c:pt idx="21">
                  <c:v>-23.06</c:v>
                </c:pt>
                <c:pt idx="22">
                  <c:v>-22.23</c:v>
                </c:pt>
                <c:pt idx="23">
                  <c:v>-22.25</c:v>
                </c:pt>
                <c:pt idx="24">
                  <c:v>-22.42</c:v>
                </c:pt>
                <c:pt idx="25">
                  <c:v>-22.33</c:v>
                </c:pt>
                <c:pt idx="26">
                  <c:v>-22.75</c:v>
                </c:pt>
                <c:pt idx="27">
                  <c:v>-23.14</c:v>
                </c:pt>
                <c:pt idx="28">
                  <c:v>-23.88</c:v>
                </c:pt>
                <c:pt idx="29">
                  <c:v>-24.32</c:v>
                </c:pt>
                <c:pt idx="30">
                  <c:v>-25.14</c:v>
                </c:pt>
                <c:pt idx="31">
                  <c:v>-25.67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data'!$J$42:$J$73</c:f>
              <c:numCache>
                <c:ptCount val="32"/>
                <c:pt idx="0">
                  <c:v>0.0003490723348469892</c:v>
                </c:pt>
                <c:pt idx="1">
                  <c:v>0.0003634936196117144</c:v>
                </c:pt>
                <c:pt idx="2">
                  <c:v>0.0003365956746905612</c:v>
                </c:pt>
                <c:pt idx="3">
                  <c:v>0.00023212076895100538</c:v>
                </c:pt>
                <c:pt idx="4">
                  <c:v>0.00019943589877052857</c:v>
                </c:pt>
                <c:pt idx="6">
                  <c:v>9.022865320778073E-05</c:v>
                </c:pt>
                <c:pt idx="7">
                  <c:v>0.0001469440092135571</c:v>
                </c:pt>
                <c:pt idx="8">
                  <c:v>0.0003375596654346212</c:v>
                </c:pt>
                <c:pt idx="9">
                  <c:v>0.0003967519525985076</c:v>
                </c:pt>
                <c:pt idx="10">
                  <c:v>0.0002805546247173837</c:v>
                </c:pt>
                <c:pt idx="11">
                  <c:v>0.00026904173494570583</c:v>
                </c:pt>
                <c:pt idx="12">
                  <c:v>0.0003510071818361303</c:v>
                </c:pt>
                <c:pt idx="13">
                  <c:v>0.00035077026179664364</c:v>
                </c:pt>
                <c:pt idx="14">
                  <c:v>0.0003809286613159363</c:v>
                </c:pt>
                <c:pt idx="15">
                  <c:v>0.00020752260800075212</c:v>
                </c:pt>
                <c:pt idx="16">
                  <c:v>0.0002282500358497428</c:v>
                </c:pt>
                <c:pt idx="17">
                  <c:v>0.00011480044786200448</c:v>
                </c:pt>
                <c:pt idx="18">
                  <c:v>8.146189243537713E-05</c:v>
                </c:pt>
                <c:pt idx="19">
                  <c:v>0.00014833029732126427</c:v>
                </c:pt>
                <c:pt idx="20">
                  <c:v>0.00020384436924630962</c:v>
                </c:pt>
                <c:pt idx="21">
                  <c:v>0.00029819246349184735</c:v>
                </c:pt>
                <c:pt idx="22">
                  <c:v>0.0003275931410186099</c:v>
                </c:pt>
                <c:pt idx="23">
                  <c:v>0.00037898622258466033</c:v>
                </c:pt>
                <c:pt idx="24">
                  <c:v>0.00029649045171392587</c:v>
                </c:pt>
                <c:pt idx="25">
                  <c:v>0.00029887326820301596</c:v>
                </c:pt>
                <c:pt idx="26">
                  <c:v>0.00036689700559394537</c:v>
                </c:pt>
                <c:pt idx="27">
                  <c:v>0.0002905561039815729</c:v>
                </c:pt>
                <c:pt idx="28">
                  <c:v>0.00023665323764040445</c:v>
                </c:pt>
                <c:pt idx="29">
                  <c:v>9.7829342147587E-05</c:v>
                </c:pt>
                <c:pt idx="30">
                  <c:v>9.581956307137646E-05</c:v>
                </c:pt>
                <c:pt idx="31">
                  <c:v>0.00012466506839655902</c:v>
                </c:pt>
              </c:numCache>
            </c:numRef>
          </c:xVal>
          <c:yVal>
            <c:numRef>
              <c:f>'Cerl results and Ern data'!$N$42:$N$73</c:f>
              <c:numCache>
                <c:ptCount val="32"/>
                <c:pt idx="0">
                  <c:v>-22.07772</c:v>
                </c:pt>
                <c:pt idx="1">
                  <c:v>-21.904915</c:v>
                </c:pt>
                <c:pt idx="2">
                  <c:v>-21.467819999999996</c:v>
                </c:pt>
                <c:pt idx="3">
                  <c:v>-21.793099999999995</c:v>
                </c:pt>
                <c:pt idx="4">
                  <c:v>-23.389004999999997</c:v>
                </c:pt>
                <c:pt idx="7">
                  <c:v>-24.913755</c:v>
                </c:pt>
                <c:pt idx="8">
                  <c:v>-23.693955</c:v>
                </c:pt>
                <c:pt idx="9">
                  <c:v>-23.602469999999997</c:v>
                </c:pt>
                <c:pt idx="10">
                  <c:v>-22.880754999999997</c:v>
                </c:pt>
                <c:pt idx="11">
                  <c:v>-22.71</c:v>
                </c:pt>
                <c:pt idx="12">
                  <c:v>-22.5</c:v>
                </c:pt>
                <c:pt idx="13">
                  <c:v>-22.16</c:v>
                </c:pt>
                <c:pt idx="14">
                  <c:v>-22.19</c:v>
                </c:pt>
                <c:pt idx="15">
                  <c:v>-22</c:v>
                </c:pt>
                <c:pt idx="16">
                  <c:v>-22.36</c:v>
                </c:pt>
                <c:pt idx="17">
                  <c:v>-23.57</c:v>
                </c:pt>
                <c:pt idx="18">
                  <c:v>-24.69</c:v>
                </c:pt>
                <c:pt idx="19">
                  <c:v>-24.06</c:v>
                </c:pt>
                <c:pt idx="20">
                  <c:v>-24.06</c:v>
                </c:pt>
                <c:pt idx="21">
                  <c:v>-23.82</c:v>
                </c:pt>
                <c:pt idx="22">
                  <c:v>-22.73</c:v>
                </c:pt>
                <c:pt idx="23">
                  <c:v>-22.41</c:v>
                </c:pt>
                <c:pt idx="24">
                  <c:v>-22.58</c:v>
                </c:pt>
                <c:pt idx="25">
                  <c:v>-22.5</c:v>
                </c:pt>
                <c:pt idx="26">
                  <c:v>-22.31</c:v>
                </c:pt>
                <c:pt idx="27">
                  <c:v>-22.11</c:v>
                </c:pt>
                <c:pt idx="28">
                  <c:v>-22.48</c:v>
                </c:pt>
                <c:pt idx="29">
                  <c:v>-23.31</c:v>
                </c:pt>
                <c:pt idx="30">
                  <c:v>-25.37</c:v>
                </c:pt>
                <c:pt idx="31">
                  <c:v>-25.11</c:v>
                </c:pt>
              </c:numCache>
            </c:numRef>
          </c:yVal>
          <c:smooth val="0"/>
        </c:ser>
        <c:ser>
          <c:idx val="3"/>
          <c:order val="3"/>
          <c:tx>
            <c:v>Cerling model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data'!$AI$21:$AI$35</c:f>
              <c:numCache>
                <c:ptCount val="15"/>
                <c:pt idx="0">
                  <c:v>0.0015114780477866864</c:v>
                </c:pt>
                <c:pt idx="1">
                  <c:v>0.0010825004630432044</c:v>
                </c:pt>
                <c:pt idx="2">
                  <c:v>0.0008572291333504479</c:v>
                </c:pt>
                <c:pt idx="3">
                  <c:v>0.0007194811953100986</c:v>
                </c:pt>
                <c:pt idx="4">
                  <c:v>0.00062742713665378</c:v>
                </c:pt>
                <c:pt idx="5">
                  <c:v>0.000562331723929386</c:v>
                </c:pt>
                <c:pt idx="6">
                  <c:v>0.0005145652824588351</c:v>
                </c:pt>
                <c:pt idx="7">
                  <c:v>0.0004786875664318556</c:v>
                </c:pt>
                <c:pt idx="8">
                  <c:v>0.00045140988427997265</c:v>
                </c:pt>
                <c:pt idx="9">
                  <c:v>0.0004306452488533412</c:v>
                </c:pt>
                <c:pt idx="10">
                  <c:v>0.000415025368108552</c:v>
                </c:pt>
                <c:pt idx="11">
                  <c:v>0.0004036384521258162</c:v>
                </c:pt>
                <c:pt idx="12">
                  <c:v>0.000395880141672576</c:v>
                </c:pt>
                <c:pt idx="13">
                  <c:v>0.0003913666803932251</c:v>
                </c:pt>
                <c:pt idx="14">
                  <c:v>0.00038988497708437647</c:v>
                </c:pt>
              </c:numCache>
            </c:numRef>
          </c:xVal>
          <c:y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data'!$AM$22:$AM$35</c:f>
              <c:numCache>
                <c:ptCount val="14"/>
                <c:pt idx="0">
                  <c:v>0.0003226914356888215</c:v>
                </c:pt>
                <c:pt idx="1">
                  <c:v>0.00023187081862288548</c:v>
                </c:pt>
                <c:pt idx="2">
                  <c:v>0.0001841806517706597</c:v>
                </c:pt>
                <c:pt idx="3">
                  <c:v>0.00015506153013563516</c:v>
                </c:pt>
                <c:pt idx="4">
                  <c:v>0.00013565670101542928</c:v>
                </c:pt>
                <c:pt idx="5">
                  <c:v>0.00012199674442501904</c:v>
                </c:pt>
                <c:pt idx="6">
                  <c:v>0.0001120419759281278</c:v>
                </c:pt>
                <c:pt idx="7">
                  <c:v>0.00010464182906443617</c:v>
                </c:pt>
                <c:pt idx="8">
                  <c:v>9.910326872457938E-05</c:v>
                </c:pt>
                <c:pt idx="9">
                  <c:v>9.498970769627405E-05</c:v>
                </c:pt>
                <c:pt idx="10">
                  <c:v>9.201897956205755E-05</c:v>
                </c:pt>
                <c:pt idx="11">
                  <c:v>9.000830897564753E-05</c:v>
                </c:pt>
                <c:pt idx="12">
                  <c:v>8.884353782207717E-05</c:v>
                </c:pt>
                <c:pt idx="13">
                  <c:v>8.846195109231286E-05</c:v>
                </c:pt>
              </c:numCache>
            </c:numRef>
          </c:xVal>
          <c:yVal>
            <c:numRef>
              <c:f>'Cerl results and Ern data'!$AJ$22:$AJ$35</c:f>
              <c:numCache>
                <c:ptCount val="14"/>
                <c:pt idx="0">
                  <c:v>-22.60121204055221</c:v>
                </c:pt>
                <c:pt idx="1">
                  <c:v>-23.175457186690117</c:v>
                </c:pt>
                <c:pt idx="2">
                  <c:v>-23.476992026884467</c:v>
                </c:pt>
                <c:pt idx="3">
                  <c:v>-23.6611050814578</c:v>
                </c:pt>
                <c:pt idx="4">
                  <c:v>-23.783796631849373</c:v>
                </c:pt>
                <c:pt idx="5">
                  <c:v>-23.870164687322838</c:v>
                </c:pt>
                <c:pt idx="6">
                  <c:v>-23.93310577832919</c:v>
                </c:pt>
                <c:pt idx="7">
                  <c:v>-23.979894686506185</c:v>
                </c:pt>
                <c:pt idx="8">
                  <c:v>-24.01491330982686</c:v>
                </c:pt>
                <c:pt idx="9">
                  <c:v>-24.040922080627247</c:v>
                </c:pt>
                <c:pt idx="10">
                  <c:v>-24.05970506406996</c:v>
                </c:pt>
                <c:pt idx="11">
                  <c:v>-24.072417899915543</c:v>
                </c:pt>
                <c:pt idx="12">
                  <c:v>-24.079782378845227</c:v>
                </c:pt>
                <c:pt idx="13">
                  <c:v>-24.08219503056419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data'!$AQ$23:$AQ$35</c:f>
              <c:numCache>
                <c:ptCount val="13"/>
              </c:numCache>
            </c:numRef>
          </c:xVal>
          <c:yVal>
            <c:numRef>
              <c:f>'Cerl results and Ern data'!$AN$23:$AN$35</c:f>
              <c:numCache>
                <c:ptCount val="13"/>
                <c:pt idx="0">
                  <c:v>-23.87470667478242</c:v>
                </c:pt>
                <c:pt idx="1">
                  <c:v>-24.038139335897935</c:v>
                </c:pt>
                <c:pt idx="2">
                  <c:v>-24.13642881509892</c:v>
                </c:pt>
                <c:pt idx="3">
                  <c:v>-24.20130843474222</c:v>
                </c:pt>
                <c:pt idx="4">
                  <c:v>-24.2466864110501</c:v>
                </c:pt>
                <c:pt idx="5">
                  <c:v>-24.279604228962135</c:v>
                </c:pt>
                <c:pt idx="6">
                  <c:v>-24.303992239032567</c:v>
                </c:pt>
                <c:pt idx="7">
                  <c:v>-24.322199440937943</c:v>
                </c:pt>
                <c:pt idx="8">
                  <c:v>-24.33569690741788</c:v>
                </c:pt>
                <c:pt idx="9">
                  <c:v>-24.34543114031684</c:v>
                </c:pt>
                <c:pt idx="10">
                  <c:v>-24.35201319174829</c:v>
                </c:pt>
                <c:pt idx="11">
                  <c:v>-24.355823799947828</c:v>
                </c:pt>
                <c:pt idx="12">
                  <c:v>-24.357071807259878</c:v>
                </c:pt>
              </c:numCache>
            </c:numRef>
          </c:yVal>
          <c:smooth val="0"/>
        </c:ser>
        <c:axId val="55199777"/>
        <c:axId val="27035946"/>
      </c:scatterChart>
      <c:valAx>
        <c:axId val="5519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7035946"/>
        <c:crosses val="autoZero"/>
        <c:crossBetween val="midCat"/>
        <c:dispUnits/>
      </c:valAx>
      <c:valAx>
        <c:axId val="27035946"/>
        <c:scaling>
          <c:orientation val="minMax"/>
          <c:max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9777"/>
        <c:crossesAt val="-3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075"/>
          <c:y val="0.18475"/>
          <c:w val="0.194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375"/>
          <c:y val="0.0645"/>
          <c:w val="0.50175"/>
          <c:h val="0.89025"/>
        </c:manualLayout>
      </c:layout>
      <c:scatterChart>
        <c:scatterStyle val="lineMarker"/>
        <c:varyColors val="0"/>
        <c:ser>
          <c:idx val="1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</a:t>
                    </a:r>
                    <a:r>
                      <a:rPr lang="en-US" cap="none" sz="1600" b="0" i="0" u="none" baseline="-25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 plants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data'!$AN$39:$AN$53</c:f>
              <c:numCache>
                <c:ptCount val="15"/>
                <c:pt idx="0">
                  <c:v>-14.528062515068996</c:v>
                </c:pt>
                <c:pt idx="1">
                  <c:v>-17.027936885748662</c:v>
                </c:pt>
                <c:pt idx="2">
                  <c:v>-18.340653869797997</c:v>
                </c:pt>
                <c:pt idx="3">
                  <c:v>-19.14332949958397</c:v>
                </c:pt>
                <c:pt idx="4">
                  <c:v>-19.679732808810524</c:v>
                </c:pt>
                <c:pt idx="5">
                  <c:v>-20.059042965602348</c:v>
                </c:pt>
                <c:pt idx="6">
                  <c:v>-20.337375388905897</c:v>
                </c:pt>
                <c:pt idx="7">
                  <c:v>-20.54643173143034</c:v>
                </c:pt>
                <c:pt idx="8">
                  <c:v>-20.705375771633005</c:v>
                </c:pt>
                <c:pt idx="9">
                  <c:v>-20.82636863168419</c:v>
                </c:pt>
                <c:pt idx="10">
                  <c:v>-20.917383453413095</c:v>
                </c:pt>
                <c:pt idx="11">
                  <c:v>-20.98373327595371</c:v>
                </c:pt>
                <c:pt idx="12">
                  <c:v>-21.02893971150721</c:v>
                </c:pt>
                <c:pt idx="13">
                  <c:v>-21.05523890841532</c:v>
                </c:pt>
                <c:pt idx="14">
                  <c:v>-21.063872546667195</c:v>
                </c:pt>
              </c:numCache>
            </c:numRef>
          </c:xVal>
          <c:yVal>
            <c:numRef>
              <c:f>'Cerl results and Ern data'!$AR$39:$AR$53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data'!$M$46:$M$47</c:f>
              <c:numCache>
                <c:ptCount val="2"/>
                <c:pt idx="0">
                  <c:v>-24.425834999999996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data'!$N$46:$N$47</c:f>
              <c:numCache>
                <c:ptCount val="2"/>
                <c:pt idx="0">
                  <c:v>-23.389004999999997</c:v>
                </c:pt>
              </c:numCache>
            </c:numRef>
          </c:yVal>
          <c:smooth val="0"/>
        </c:ser>
        <c:ser>
          <c:idx val="0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C</a:t>
                    </a:r>
                    <a:r>
                      <a:rPr lang="en-US" cap="none" sz="1600" b="0" i="0" u="none" baseline="-25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 plants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data'!$AF$39:$AF$53</c:f>
              <c:numCache>
                <c:ptCount val="15"/>
                <c:pt idx="0">
                  <c:v>-8.455933176795604</c:v>
                </c:pt>
                <c:pt idx="1">
                  <c:v>-8.630545787614242</c:v>
                </c:pt>
                <c:pt idx="2">
                  <c:v>-8.72224078522188</c:v>
                </c:pt>
                <c:pt idx="3">
                  <c:v>-8.778309953565987</c:v>
                </c:pt>
                <c:pt idx="4">
                  <c:v>-8.815779764146047</c:v>
                </c:pt>
                <c:pt idx="5">
                  <c:v>-8.842276271591064</c:v>
                </c:pt>
                <c:pt idx="6">
                  <c:v>-8.861719165842995</c:v>
                </c:pt>
                <c:pt idx="7">
                  <c:v>-8.87632285733253</c:v>
                </c:pt>
                <c:pt idx="8">
                  <c:v>-8.887425981639051</c:v>
                </c:pt>
                <c:pt idx="9">
                  <c:v>-8.895878029615112</c:v>
                </c:pt>
                <c:pt idx="10">
                  <c:v>-8.902235952929827</c:v>
                </c:pt>
                <c:pt idx="11">
                  <c:v>-8.90687088778941</c:v>
                </c:pt>
                <c:pt idx="12">
                  <c:v>-8.910028833322038</c:v>
                </c:pt>
                <c:pt idx="13">
                  <c:v>-8.91186599415461</c:v>
                </c:pt>
                <c:pt idx="14">
                  <c:v>-8.912469107163146</c:v>
                </c:pt>
              </c:numCache>
            </c:numRef>
          </c:xVal>
          <c:yVal>
            <c:numRef>
              <c:f>'Cerl results and Ern data'!$AJ$39:$AJ$53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axId val="41996923"/>
        <c:axId val="42427988"/>
      </c:scatterChart>
      <c:valAx>
        <c:axId val="41996923"/>
        <c:scaling>
          <c:orientation val="minMax"/>
          <c:max val="-5"/>
          <c:min val="-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7988"/>
        <c:crosses val="autoZero"/>
        <c:crossBetween val="midCat"/>
        <c:dispUnits/>
      </c:valAx>
      <c:valAx>
        <c:axId val="424279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Depth from surface (cm) </a:t>
                </a:r>
                <a:r>
                  <a:rPr lang="en-US" cap="none" sz="1800" b="0" i="0" u="none" baseline="0">
                    <a:solidFill>
                      <a:srgbClr val="FFFFFF"/>
                    </a:solidFill>
                  </a:rPr>
                  <a:t>.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96923"/>
        <c:crossesAt val="-3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815"/>
          <c:w val="0.833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data'!$E$42:$E$73</c:f>
              <c:numCache>
                <c:ptCount val="32"/>
                <c:pt idx="0">
                  <c:v>-2.5791276035385504</c:v>
                </c:pt>
                <c:pt idx="1">
                  <c:v>-2.2874955200453657</c:v>
                </c:pt>
                <c:pt idx="2">
                  <c:v>-2.20968811906843</c:v>
                </c:pt>
                <c:pt idx="3">
                  <c:v>-2.1673463468238556</c:v>
                </c:pt>
                <c:pt idx="4">
                  <c:v>-2.064425863191749</c:v>
                </c:pt>
                <c:pt idx="6">
                  <c:v>-2.0895092807860607</c:v>
                </c:pt>
                <c:pt idx="7">
                  <c:v>-2.54736312665219</c:v>
                </c:pt>
                <c:pt idx="8">
                  <c:v>-3.094872213719893</c:v>
                </c:pt>
                <c:pt idx="9">
                  <c:v>-2.97987974464093</c:v>
                </c:pt>
                <c:pt idx="10">
                  <c:v>-2.825435773621219</c:v>
                </c:pt>
                <c:pt idx="11">
                  <c:v>-2.7888415975537963</c:v>
                </c:pt>
                <c:pt idx="12">
                  <c:v>-2.363472414560631</c:v>
                </c:pt>
                <c:pt idx="13">
                  <c:v>-2.1947747485574607</c:v>
                </c:pt>
                <c:pt idx="14">
                  <c:v>-2.0030522338836705</c:v>
                </c:pt>
                <c:pt idx="15">
                  <c:v>-2.107805794378943</c:v>
                </c:pt>
                <c:pt idx="16">
                  <c:v>-2.0748715909144946</c:v>
                </c:pt>
                <c:pt idx="17">
                  <c:v>-2.026943322241414</c:v>
                </c:pt>
                <c:pt idx="18">
                  <c:v>-2.1183034477172353</c:v>
                </c:pt>
                <c:pt idx="19">
                  <c:v>-2.7659906198357174</c:v>
                </c:pt>
                <c:pt idx="20">
                  <c:v>-2.828823822793911</c:v>
                </c:pt>
                <c:pt idx="21">
                  <c:v>-2.8577134147601755</c:v>
                </c:pt>
                <c:pt idx="22">
                  <c:v>-2.8675173182542197</c:v>
                </c:pt>
                <c:pt idx="23">
                  <c:v>-2.7362312755613636</c:v>
                </c:pt>
                <c:pt idx="24">
                  <c:v>-2.6121894149134635</c:v>
                </c:pt>
                <c:pt idx="25">
                  <c:v>-2.2657872126101046</c:v>
                </c:pt>
                <c:pt idx="26">
                  <c:v>-2.0471283177254014</c:v>
                </c:pt>
                <c:pt idx="27">
                  <c:v>-2.0830187617860196</c:v>
                </c:pt>
                <c:pt idx="28">
                  <c:v>-2.1294008178285906</c:v>
                </c:pt>
                <c:pt idx="29">
                  <c:v>-2.1994964502772953</c:v>
                </c:pt>
                <c:pt idx="30">
                  <c:v>-2.1670907631446226</c:v>
                </c:pt>
                <c:pt idx="31">
                  <c:v>-2.44948112581852</c:v>
                </c:pt>
              </c:numCache>
            </c:numRef>
          </c:xVal>
          <c:yVal>
            <c:numRef>
              <c:f>'Cerl results and Ern data'!$L$42:$L$73</c:f>
              <c:numCache>
                <c:ptCount val="32"/>
                <c:pt idx="0">
                  <c:v>-21.457655</c:v>
                </c:pt>
                <c:pt idx="1">
                  <c:v>-22.403</c:v>
                </c:pt>
                <c:pt idx="2">
                  <c:v>-22.504649999999998</c:v>
                </c:pt>
                <c:pt idx="3">
                  <c:v>-22.70795</c:v>
                </c:pt>
                <c:pt idx="4">
                  <c:v>-23.19587</c:v>
                </c:pt>
                <c:pt idx="7">
                  <c:v>-23.775275</c:v>
                </c:pt>
                <c:pt idx="8">
                  <c:v>-22.504649999999998</c:v>
                </c:pt>
                <c:pt idx="9">
                  <c:v>-21.843925</c:v>
                </c:pt>
                <c:pt idx="10">
                  <c:v>-21.244189999999996</c:v>
                </c:pt>
                <c:pt idx="11">
                  <c:v>-20.53</c:v>
                </c:pt>
                <c:pt idx="12">
                  <c:v>-20.63</c:v>
                </c:pt>
                <c:pt idx="13">
                  <c:v>-21.55</c:v>
                </c:pt>
                <c:pt idx="14">
                  <c:v>-22.3</c:v>
                </c:pt>
                <c:pt idx="15">
                  <c:v>-22.93</c:v>
                </c:pt>
                <c:pt idx="16">
                  <c:v>-22.37</c:v>
                </c:pt>
                <c:pt idx="17">
                  <c:v>-23.17</c:v>
                </c:pt>
                <c:pt idx="18">
                  <c:v>-23.45</c:v>
                </c:pt>
                <c:pt idx="19">
                  <c:v>-23.49</c:v>
                </c:pt>
                <c:pt idx="20">
                  <c:v>-21.59</c:v>
                </c:pt>
                <c:pt idx="21">
                  <c:v>-21.21</c:v>
                </c:pt>
                <c:pt idx="22">
                  <c:v>-20.31</c:v>
                </c:pt>
                <c:pt idx="23">
                  <c:v>-20.14</c:v>
                </c:pt>
                <c:pt idx="24">
                  <c:v>-20.47</c:v>
                </c:pt>
                <c:pt idx="25">
                  <c:v>-21.26</c:v>
                </c:pt>
                <c:pt idx="26">
                  <c:v>-22.73</c:v>
                </c:pt>
                <c:pt idx="27">
                  <c:v>-23.1</c:v>
                </c:pt>
                <c:pt idx="28">
                  <c:v>-23.12</c:v>
                </c:pt>
                <c:pt idx="29">
                  <c:v>-23.8</c:v>
                </c:pt>
                <c:pt idx="30">
                  <c:v>-23.78</c:v>
                </c:pt>
                <c:pt idx="31">
                  <c:v>-24.42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data'!$H$42:$H$73</c:f>
              <c:numCache>
                <c:ptCount val="32"/>
                <c:pt idx="0">
                  <c:v>-2.5791276035385504</c:v>
                </c:pt>
                <c:pt idx="1">
                  <c:v>-2.463586779101047</c:v>
                </c:pt>
                <c:pt idx="2">
                  <c:v>-2.308613423311812</c:v>
                </c:pt>
                <c:pt idx="3">
                  <c:v>-2.23963388492358</c:v>
                </c:pt>
                <c:pt idx="4">
                  <c:v>-2.0895613085822338</c:v>
                </c:pt>
                <c:pt idx="6">
                  <c:v>-1.910084656910006</c:v>
                </c:pt>
                <c:pt idx="7">
                  <c:v>-2.2920906215488834</c:v>
                </c:pt>
                <c:pt idx="8">
                  <c:v>-2.668128647197651</c:v>
                </c:pt>
                <c:pt idx="9">
                  <c:v>-2.7062355494665815</c:v>
                </c:pt>
                <c:pt idx="10">
                  <c:v>-2.5776512899104627</c:v>
                </c:pt>
                <c:pt idx="11">
                  <c:v>-2.503605869073047</c:v>
                </c:pt>
                <c:pt idx="12">
                  <c:v>-2.4247420712995535</c:v>
                </c:pt>
                <c:pt idx="13">
                  <c:v>-2.3301789188439255</c:v>
                </c:pt>
                <c:pt idx="14">
                  <c:v>-2.2798136548207153</c:v>
                </c:pt>
                <c:pt idx="15">
                  <c:v>-2.184439851412688</c:v>
                </c:pt>
                <c:pt idx="16">
                  <c:v>-2.0748715909144946</c:v>
                </c:pt>
                <c:pt idx="17">
                  <c:v>-1.9364358008424885</c:v>
                </c:pt>
                <c:pt idx="18">
                  <c:v>-1.9149944727328523</c:v>
                </c:pt>
                <c:pt idx="19">
                  <c:v>-2.4369319005714924</c:v>
                </c:pt>
                <c:pt idx="20">
                  <c:v>-2.52779382712993</c:v>
                </c:pt>
                <c:pt idx="21">
                  <c:v>-2.6581410598549713</c:v>
                </c:pt>
                <c:pt idx="22">
                  <c:v>-2.667944963349016</c:v>
                </c:pt>
                <c:pt idx="23">
                  <c:v>-2.597928577395082</c:v>
                </c:pt>
                <c:pt idx="24">
                  <c:v>-2.472010711748427</c:v>
                </c:pt>
                <c:pt idx="25">
                  <c:v>-2.0927870305315652</c:v>
                </c:pt>
                <c:pt idx="26">
                  <c:v>-1.9447554090158428</c:v>
                </c:pt>
                <c:pt idx="27">
                  <c:v>-2.065289994825588</c:v>
                </c:pt>
                <c:pt idx="28">
                  <c:v>-2.142973625017864</c:v>
                </c:pt>
                <c:pt idx="29">
                  <c:v>-2.0260452873878227</c:v>
                </c:pt>
                <c:pt idx="30">
                  <c:v>-2.0261639211521922</c:v>
                </c:pt>
                <c:pt idx="31">
                  <c:v>-2.2332726435548564</c:v>
                </c:pt>
              </c:numCache>
            </c:numRef>
          </c:xVal>
          <c:yVal>
            <c:numRef>
              <c:f>'Cerl results and Ern data'!$M$42:$M$73</c:f>
              <c:numCache>
                <c:ptCount val="32"/>
                <c:pt idx="0">
                  <c:v>-21.85409</c:v>
                </c:pt>
                <c:pt idx="1">
                  <c:v>-22.189534999999996</c:v>
                </c:pt>
                <c:pt idx="2">
                  <c:v>-22.636795</c:v>
                </c:pt>
                <c:pt idx="3">
                  <c:v>-23.19587</c:v>
                </c:pt>
                <c:pt idx="4">
                  <c:v>-24.425834999999996</c:v>
                </c:pt>
                <c:pt idx="7">
                  <c:v>-24.110719999999997</c:v>
                </c:pt>
                <c:pt idx="8">
                  <c:v>-23.0129</c:v>
                </c:pt>
                <c:pt idx="9">
                  <c:v>-22.494484999999997</c:v>
                </c:pt>
                <c:pt idx="10">
                  <c:v>-22.331844999999998</c:v>
                </c:pt>
                <c:pt idx="11">
                  <c:v>-22.23</c:v>
                </c:pt>
                <c:pt idx="12">
                  <c:v>-21.97</c:v>
                </c:pt>
                <c:pt idx="13">
                  <c:v>-22.06</c:v>
                </c:pt>
                <c:pt idx="14">
                  <c:v>-22.76</c:v>
                </c:pt>
                <c:pt idx="15">
                  <c:v>-23.38</c:v>
                </c:pt>
                <c:pt idx="16">
                  <c:v>-23.57</c:v>
                </c:pt>
                <c:pt idx="17">
                  <c:v>-24.44</c:v>
                </c:pt>
                <c:pt idx="18">
                  <c:v>-24.33</c:v>
                </c:pt>
                <c:pt idx="19">
                  <c:v>-24.06</c:v>
                </c:pt>
                <c:pt idx="20">
                  <c:v>-23.03</c:v>
                </c:pt>
                <c:pt idx="21">
                  <c:v>-23.06</c:v>
                </c:pt>
                <c:pt idx="22">
                  <c:v>-22.23</c:v>
                </c:pt>
                <c:pt idx="23">
                  <c:v>-22.25</c:v>
                </c:pt>
                <c:pt idx="24">
                  <c:v>-22.42</c:v>
                </c:pt>
                <c:pt idx="25">
                  <c:v>-22.33</c:v>
                </c:pt>
                <c:pt idx="26">
                  <c:v>-22.75</c:v>
                </c:pt>
                <c:pt idx="27">
                  <c:v>-23.14</c:v>
                </c:pt>
                <c:pt idx="28">
                  <c:v>-23.88</c:v>
                </c:pt>
                <c:pt idx="29">
                  <c:v>-24.32</c:v>
                </c:pt>
                <c:pt idx="30">
                  <c:v>-25.14</c:v>
                </c:pt>
                <c:pt idx="31">
                  <c:v>-25.67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data'!$K$42:$K$73</c:f>
              <c:numCache>
                <c:ptCount val="32"/>
                <c:pt idx="0">
                  <c:v>-2.5429154308841055</c:v>
                </c:pt>
                <c:pt idx="1">
                  <c:v>-2.5604967921091033</c:v>
                </c:pt>
                <c:pt idx="2">
                  <c:v>-2.5271085309205805</c:v>
                </c:pt>
                <c:pt idx="3">
                  <c:v>-2.3657140005906894</c:v>
                </c:pt>
                <c:pt idx="4">
                  <c:v>-2.2998033346912536</c:v>
                </c:pt>
                <c:pt idx="6">
                  <c:v>-1.9553444749472415</c:v>
                </c:pt>
                <c:pt idx="7">
                  <c:v>-2.1671518849405835</c:v>
                </c:pt>
                <c:pt idx="8">
                  <c:v>-2.52835054777092</c:v>
                </c:pt>
                <c:pt idx="9">
                  <c:v>-2.598519072794675</c:v>
                </c:pt>
                <c:pt idx="10">
                  <c:v>-2.448017432093783</c:v>
                </c:pt>
                <c:pt idx="11">
                  <c:v>-2.4298196549121287</c:v>
                </c:pt>
                <c:pt idx="12">
                  <c:v>-2.5453160025054036</c:v>
                </c:pt>
                <c:pt idx="13">
                  <c:v>-2.5450227668916234</c:v>
                </c:pt>
                <c:pt idx="14">
                  <c:v>-2.580843650484696</c:v>
                </c:pt>
                <c:pt idx="15">
                  <c:v>-2.317065416687279</c:v>
                </c:pt>
                <c:pt idx="16">
                  <c:v>-2.3584108544181404</c:v>
                </c:pt>
                <c:pt idx="17">
                  <c:v>-2.0599435823443395</c:v>
                </c:pt>
                <c:pt idx="18">
                  <c:v>-1.9109544949311124</c:v>
                </c:pt>
                <c:pt idx="19">
                  <c:v>-2.1712298672492545</c:v>
                </c:pt>
                <c:pt idx="20">
                  <c:v>-2.3092987195211614</c:v>
                </c:pt>
                <c:pt idx="21">
                  <c:v>-2.474496662908844</c:v>
                </c:pt>
                <c:pt idx="22">
                  <c:v>-2.5153348001428575</c:v>
                </c:pt>
                <c:pt idx="23">
                  <c:v>-2.578623422199695</c:v>
                </c:pt>
                <c:pt idx="24">
                  <c:v>-2.472010711748427</c:v>
                </c:pt>
                <c:pt idx="25">
                  <c:v>-2.475487072646866</c:v>
                </c:pt>
                <c:pt idx="26">
                  <c:v>-2.564544167304237</c:v>
                </c:pt>
                <c:pt idx="27">
                  <c:v>-2.4632300034976256</c:v>
                </c:pt>
                <c:pt idx="28">
                  <c:v>-2.374112450404451</c:v>
                </c:pt>
                <c:pt idx="29">
                  <c:v>-1.9904691331266264</c:v>
                </c:pt>
                <c:pt idx="30">
                  <c:v>-1.9814541861827106</c:v>
                </c:pt>
                <c:pt idx="31">
                  <c:v>-2.095744779638536</c:v>
                </c:pt>
              </c:numCache>
            </c:numRef>
          </c:xVal>
          <c:yVal>
            <c:numRef>
              <c:f>'Cerl results and Ern data'!$N$42:$N$73</c:f>
              <c:numCache>
                <c:ptCount val="32"/>
                <c:pt idx="0">
                  <c:v>-22.07772</c:v>
                </c:pt>
                <c:pt idx="1">
                  <c:v>-21.904915</c:v>
                </c:pt>
                <c:pt idx="2">
                  <c:v>-21.467819999999996</c:v>
                </c:pt>
                <c:pt idx="3">
                  <c:v>-21.793099999999995</c:v>
                </c:pt>
                <c:pt idx="4">
                  <c:v>-23.389004999999997</c:v>
                </c:pt>
                <c:pt idx="7">
                  <c:v>-24.913755</c:v>
                </c:pt>
                <c:pt idx="8">
                  <c:v>-23.693955</c:v>
                </c:pt>
                <c:pt idx="9">
                  <c:v>-23.602469999999997</c:v>
                </c:pt>
                <c:pt idx="10">
                  <c:v>-22.880754999999997</c:v>
                </c:pt>
                <c:pt idx="11">
                  <c:v>-22.71</c:v>
                </c:pt>
                <c:pt idx="12">
                  <c:v>-22.5</c:v>
                </c:pt>
                <c:pt idx="13">
                  <c:v>-22.16</c:v>
                </c:pt>
                <c:pt idx="14">
                  <c:v>-22.19</c:v>
                </c:pt>
                <c:pt idx="15">
                  <c:v>-22</c:v>
                </c:pt>
                <c:pt idx="16">
                  <c:v>-22.36</c:v>
                </c:pt>
                <c:pt idx="17">
                  <c:v>-23.57</c:v>
                </c:pt>
                <c:pt idx="18">
                  <c:v>-24.69</c:v>
                </c:pt>
                <c:pt idx="19">
                  <c:v>-24.06</c:v>
                </c:pt>
                <c:pt idx="20">
                  <c:v>-24.06</c:v>
                </c:pt>
                <c:pt idx="21">
                  <c:v>-23.82</c:v>
                </c:pt>
                <c:pt idx="22">
                  <c:v>-22.73</c:v>
                </c:pt>
                <c:pt idx="23">
                  <c:v>-22.41</c:v>
                </c:pt>
                <c:pt idx="24">
                  <c:v>-22.58</c:v>
                </c:pt>
                <c:pt idx="25">
                  <c:v>-22.5</c:v>
                </c:pt>
                <c:pt idx="26">
                  <c:v>-22.31</c:v>
                </c:pt>
                <c:pt idx="27">
                  <c:v>-22.11</c:v>
                </c:pt>
                <c:pt idx="28">
                  <c:v>-22.48</c:v>
                </c:pt>
                <c:pt idx="29">
                  <c:v>-23.31</c:v>
                </c:pt>
                <c:pt idx="30">
                  <c:v>-25.37</c:v>
                </c:pt>
                <c:pt idx="31">
                  <c:v>-25.11</c:v>
                </c:pt>
              </c:numCache>
            </c:numRef>
          </c:yVal>
          <c:smooth val="0"/>
        </c:ser>
        <c:ser>
          <c:idx val="3"/>
          <c:order val="3"/>
          <c:tx>
            <c:v>Cerling model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data'!$AH$21:$AH$35</c:f>
              <c:numCache>
                <c:ptCount val="15"/>
                <c:pt idx="0">
                  <c:v>-3.1794018440084835</c:v>
                </c:pt>
                <c:pt idx="1">
                  <c:v>-3.034428090796364</c:v>
                </c:pt>
                <c:pt idx="2">
                  <c:v>-2.9330969223305194</c:v>
                </c:pt>
                <c:pt idx="3">
                  <c:v>-2.8570194475015573</c:v>
                </c:pt>
                <c:pt idx="4">
                  <c:v>-2.797563298302002</c:v>
                </c:pt>
                <c:pt idx="5">
                  <c:v>-2.7499925849122833</c:v>
                </c:pt>
                <c:pt idx="6">
                  <c:v>-2.711440481164683</c:v>
                </c:pt>
                <c:pt idx="7">
                  <c:v>-2.680052147139013</c:v>
                </c:pt>
                <c:pt idx="8">
                  <c:v>-2.654571064359049</c:v>
                </c:pt>
                <c:pt idx="9">
                  <c:v>-2.6341196601713466</c:v>
                </c:pt>
                <c:pt idx="10">
                  <c:v>-2.6180746434418363</c:v>
                </c:pt>
                <c:pt idx="11">
                  <c:v>-2.605992532070827</c:v>
                </c:pt>
                <c:pt idx="12">
                  <c:v>-2.59756371701281</c:v>
                </c:pt>
                <c:pt idx="13">
                  <c:v>-2.5925838485643706</c:v>
                </c:pt>
                <c:pt idx="14">
                  <c:v>-2.590936501422781</c:v>
                </c:pt>
              </c:numCache>
            </c:numRef>
          </c:xVal>
          <c:y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data'!$AL$22:$AL$35</c:f>
              <c:numCache>
                <c:ptCount val="14"/>
                <c:pt idx="0">
                  <c:v>-2.5087874392729996</c:v>
                </c:pt>
                <c:pt idx="1">
                  <c:v>-2.3652460953024903</c:v>
                </c:pt>
                <c:pt idx="2">
                  <c:v>-2.265244005499367</c:v>
                </c:pt>
                <c:pt idx="3">
                  <c:v>-2.190504065240248</c:v>
                </c:pt>
                <c:pt idx="4">
                  <c:v>-2.13244125141236</c:v>
                </c:pt>
                <c:pt idx="5">
                  <c:v>-2.086348241354136</c:v>
                </c:pt>
                <c:pt idx="6">
                  <c:v>-2.049380759265379</c:v>
                </c:pt>
                <c:pt idx="7">
                  <c:v>-2.0197053222039045</c:v>
                </c:pt>
                <c:pt idx="8">
                  <c:v>-1.9960879790628359</c:v>
                </c:pt>
                <c:pt idx="9">
                  <c:v>-1.9776765512586811</c:v>
                </c:pt>
                <c:pt idx="10">
                  <c:v>-1.9638774128776493</c:v>
                </c:pt>
                <c:pt idx="11">
                  <c:v>-1.9542826025027737</c:v>
                </c:pt>
                <c:pt idx="12">
                  <c:v>-1.9486258441809632</c:v>
                </c:pt>
                <c:pt idx="13">
                  <c:v>-1.9467565138181275</c:v>
                </c:pt>
              </c:numCache>
            </c:numRef>
          </c:xVal>
          <c:yVal>
            <c:numRef>
              <c:f>'Cerl results and Ern data'!$AJ$22:$AJ$35</c:f>
              <c:numCache>
                <c:ptCount val="14"/>
                <c:pt idx="0">
                  <c:v>-22.60121204055221</c:v>
                </c:pt>
                <c:pt idx="1">
                  <c:v>-23.175457186690117</c:v>
                </c:pt>
                <c:pt idx="2">
                  <c:v>-23.476992026884467</c:v>
                </c:pt>
                <c:pt idx="3">
                  <c:v>-23.6611050814578</c:v>
                </c:pt>
                <c:pt idx="4">
                  <c:v>-23.783796631849373</c:v>
                </c:pt>
                <c:pt idx="5">
                  <c:v>-23.870164687322838</c:v>
                </c:pt>
                <c:pt idx="6">
                  <c:v>-23.93310577832919</c:v>
                </c:pt>
                <c:pt idx="7">
                  <c:v>-23.979894686506185</c:v>
                </c:pt>
                <c:pt idx="8">
                  <c:v>-24.01491330982686</c:v>
                </c:pt>
                <c:pt idx="9">
                  <c:v>-24.040922080627247</c:v>
                </c:pt>
                <c:pt idx="10">
                  <c:v>-24.05970506406996</c:v>
                </c:pt>
                <c:pt idx="11">
                  <c:v>-24.072417899915543</c:v>
                </c:pt>
                <c:pt idx="12">
                  <c:v>-24.079782378845227</c:v>
                </c:pt>
                <c:pt idx="13">
                  <c:v>-24.08219503056419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data'!$AP$23:$AP$35</c:f>
              <c:numCache>
                <c:ptCount val="13"/>
                <c:pt idx="0">
                  <c:v>-2.0837834005976124</c:v>
                </c:pt>
                <c:pt idx="1">
                  <c:v>-1.9796841419638536</c:v>
                </c:pt>
                <c:pt idx="2">
                  <c:v>-1.9024613869584905</c:v>
                </c:pt>
                <c:pt idx="3">
                  <c:v>-1.842751884648064</c:v>
                </c:pt>
                <c:pt idx="4">
                  <c:v>-1.7955034276444017</c:v>
                </c:pt>
                <c:pt idx="5">
                  <c:v>-1.7576958394555224</c:v>
                </c:pt>
                <c:pt idx="6">
                  <c:v>-1.7273969381414036</c:v>
                </c:pt>
                <c:pt idx="7">
                  <c:v>-1.7033135548062872</c:v>
                </c:pt>
                <c:pt idx="8">
                  <c:v>-1.6845563162347341</c:v>
                </c:pt>
                <c:pt idx="9">
                  <c:v>-1.670507611638351</c:v>
                </c:pt>
                <c:pt idx="10">
                  <c:v>-1.6607439693227342</c:v>
                </c:pt>
                <c:pt idx="11">
                  <c:v>-1.654989437538824</c:v>
                </c:pt>
                <c:pt idx="12">
                  <c:v>-1.6530880807297166</c:v>
                </c:pt>
              </c:numCache>
            </c:numRef>
          </c:xVal>
          <c:yVal>
            <c:numRef>
              <c:f>'Cerl results and Ern data'!$AN$23:$AN$35</c:f>
              <c:numCache>
                <c:ptCount val="13"/>
                <c:pt idx="0">
                  <c:v>-23.87470667478242</c:v>
                </c:pt>
                <c:pt idx="1">
                  <c:v>-24.038139335897935</c:v>
                </c:pt>
                <c:pt idx="2">
                  <c:v>-24.13642881509892</c:v>
                </c:pt>
                <c:pt idx="3">
                  <c:v>-24.20130843474222</c:v>
                </c:pt>
                <c:pt idx="4">
                  <c:v>-24.2466864110501</c:v>
                </c:pt>
                <c:pt idx="5">
                  <c:v>-24.279604228962135</c:v>
                </c:pt>
                <c:pt idx="6">
                  <c:v>-24.303992239032567</c:v>
                </c:pt>
                <c:pt idx="7">
                  <c:v>-24.322199440937943</c:v>
                </c:pt>
                <c:pt idx="8">
                  <c:v>-24.33569690741788</c:v>
                </c:pt>
                <c:pt idx="9">
                  <c:v>-24.34543114031684</c:v>
                </c:pt>
                <c:pt idx="10">
                  <c:v>-24.35201319174829</c:v>
                </c:pt>
                <c:pt idx="11">
                  <c:v>-24.355823799947828</c:v>
                </c:pt>
                <c:pt idx="12">
                  <c:v>-24.357071807259878</c:v>
                </c:pt>
              </c:numCache>
            </c:numRef>
          </c:yVal>
          <c:smooth val="0"/>
        </c:ser>
        <c:axId val="46307573"/>
        <c:axId val="14114974"/>
      </c:scatterChart>
      <c:valAx>
        <c:axId val="46307573"/>
        <c:scaling>
          <c:orientation val="minMax"/>
          <c:max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logP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14114974"/>
        <c:crosses val="autoZero"/>
        <c:crossBetween val="midCat"/>
        <c:dispUnits/>
      </c:valAx>
      <c:valAx>
        <c:axId val="14114974"/>
        <c:scaling>
          <c:orientation val="minMax"/>
          <c:max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C, 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7573"/>
        <c:crossesAt val="-3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0175"/>
          <c:y val="0.205"/>
          <c:w val="0.194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8692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data'!$AJ$21:$AJ$35</c:f>
              <c:numCache>
                <c:ptCount val="15"/>
                <c:pt idx="0">
                  <c:v>-21.10527763275072</c:v>
                </c:pt>
                <c:pt idx="1">
                  <c:v>-22.60121204055221</c:v>
                </c:pt>
                <c:pt idx="2">
                  <c:v>-23.175457186690117</c:v>
                </c:pt>
                <c:pt idx="3">
                  <c:v>-23.476992026884467</c:v>
                </c:pt>
                <c:pt idx="4">
                  <c:v>-23.6611050814578</c:v>
                </c:pt>
                <c:pt idx="5">
                  <c:v>-23.783796631849373</c:v>
                </c:pt>
                <c:pt idx="6">
                  <c:v>-23.870164687322838</c:v>
                </c:pt>
                <c:pt idx="7">
                  <c:v>-23.93310577832919</c:v>
                </c:pt>
                <c:pt idx="8">
                  <c:v>-23.979894686506185</c:v>
                </c:pt>
                <c:pt idx="9">
                  <c:v>-24.01491330982686</c:v>
                </c:pt>
                <c:pt idx="10">
                  <c:v>-24.040922080627247</c:v>
                </c:pt>
                <c:pt idx="11">
                  <c:v>-24.05970506406996</c:v>
                </c:pt>
                <c:pt idx="12">
                  <c:v>-24.072417899915543</c:v>
                </c:pt>
                <c:pt idx="13">
                  <c:v>-24.079782378845227</c:v>
                </c:pt>
                <c:pt idx="14">
                  <c:v>-24.08219503056419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data'!$AF$21:$AF$35</c:f>
              <c:numCache>
                <c:ptCount val="15"/>
                <c:pt idx="0">
                  <c:v>-15.084016503631892</c:v>
                </c:pt>
                <c:pt idx="1">
                  <c:v>-17.79676625659321</c:v>
                </c:pt>
                <c:pt idx="2">
                  <c:v>-19.22126176941097</c:v>
                </c:pt>
                <c:pt idx="3">
                  <c:v>-20.092283899406425</c:v>
                </c:pt>
                <c:pt idx="4">
                  <c:v>-20.674360324092312</c:v>
                </c:pt>
                <c:pt idx="5">
                  <c:v>-21.085967233955838</c:v>
                </c:pt>
                <c:pt idx="6">
                  <c:v>-21.38799836944838</c:v>
                </c:pt>
                <c:pt idx="7">
                  <c:v>-21.614854783219005</c:v>
                </c:pt>
                <c:pt idx="8">
                  <c:v>-21.787332030051232</c:v>
                </c:pt>
                <c:pt idx="9">
                  <c:v>-21.91862672868816</c:v>
                </c:pt>
                <c:pt idx="10">
                  <c:v>-22.017390913512735</c:v>
                </c:pt>
                <c:pt idx="11">
                  <c:v>-22.089390012516084</c:v>
                </c:pt>
                <c:pt idx="12">
                  <c:v>-22.138445490898718</c:v>
                </c:pt>
                <c:pt idx="13">
                  <c:v>-22.166983896599323</c:v>
                </c:pt>
                <c:pt idx="14">
                  <c:v>-22.17635263374418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data'!$M$46:$M$47</c:f>
              <c:numCache>
                <c:ptCount val="2"/>
                <c:pt idx="0">
                  <c:v>-24.425834999999996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'Cerl results and Ern data'!$L$46:$L$47</c:f>
              <c:numCache>
                <c:ptCount val="2"/>
                <c:pt idx="0">
                  <c:v>-23.19587</c:v>
                </c:pt>
              </c:numCache>
            </c:numRef>
          </c:xVal>
          <c:yVal>
            <c:numRef>
              <c:f>'Cerl results and Ern data'!$N$46:$N$47</c:f>
              <c:numCache>
                <c:ptCount val="2"/>
                <c:pt idx="0">
                  <c:v>-23.389004999999997</c:v>
                </c:pt>
              </c:numCache>
            </c:numRef>
          </c:yVal>
          <c:smooth val="0"/>
        </c:ser>
        <c:ser>
          <c:idx val="4"/>
          <c:order val="4"/>
          <c:tx>
            <c:v>November 2006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data'!$Q$37:$Q$39</c:f>
              <c:numCache>
                <c:ptCount val="3"/>
                <c:pt idx="0">
                  <c:v>-23.775275</c:v>
                </c:pt>
                <c:pt idx="1">
                  <c:v>-24.110719999999997</c:v>
                </c:pt>
                <c:pt idx="2">
                  <c:v>-24.913755</c:v>
                </c:pt>
              </c:numCache>
            </c:numRef>
          </c:xVal>
          <c:yVal>
            <c:numRef>
              <c:f>'Cerl results and Ern data'!$R$37:$R$39</c:f>
              <c:numCach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yVal>
          <c:smooth val="0"/>
        </c:ser>
        <c:ser>
          <c:idx val="5"/>
          <c:order val="5"/>
          <c:tx>
            <c:v>February 2008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'Cerl results and Ern data'!$Q$43:$Q$45</c:f>
              <c:numCache>
                <c:ptCount val="3"/>
                <c:pt idx="0">
                  <c:v>-20.31</c:v>
                </c:pt>
                <c:pt idx="1">
                  <c:v>-22.23</c:v>
                </c:pt>
                <c:pt idx="2">
                  <c:v>-22.73</c:v>
                </c:pt>
              </c:numCache>
            </c:numRef>
          </c:xVal>
          <c:yVal>
            <c:numRef>
              <c:f>'Cerl results and Ern data'!$R$43:$R$45</c:f>
              <c:numCach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yVal>
          <c:smooth val="0"/>
        </c:ser>
        <c:ser>
          <c:idx val="6"/>
          <c:order val="6"/>
          <c:tx>
            <c:v>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'Cerl results and Ern data'!$AN$21:$AN$35</c:f>
              <c:numCache>
                <c:ptCount val="15"/>
                <c:pt idx="0">
                  <c:v>-22.66320343727013</c:v>
                </c:pt>
                <c:pt idx="1">
                  <c:v>-23.554739737811524</c:v>
                </c:pt>
                <c:pt idx="2">
                  <c:v>-23.87470667478242</c:v>
                </c:pt>
                <c:pt idx="3">
                  <c:v>-24.038139335897935</c:v>
                </c:pt>
                <c:pt idx="4">
                  <c:v>-24.13642881509892</c:v>
                </c:pt>
                <c:pt idx="5">
                  <c:v>-24.20130843474222</c:v>
                </c:pt>
                <c:pt idx="6">
                  <c:v>-24.2466864110501</c:v>
                </c:pt>
                <c:pt idx="7">
                  <c:v>-24.279604228962135</c:v>
                </c:pt>
                <c:pt idx="8">
                  <c:v>-24.303992239032567</c:v>
                </c:pt>
                <c:pt idx="9">
                  <c:v>-24.322199440937943</c:v>
                </c:pt>
                <c:pt idx="10">
                  <c:v>-24.33569690741788</c:v>
                </c:pt>
                <c:pt idx="11">
                  <c:v>-24.34543114031684</c:v>
                </c:pt>
                <c:pt idx="12">
                  <c:v>-24.35201319174829</c:v>
                </c:pt>
                <c:pt idx="13">
                  <c:v>-24.355823799947828</c:v>
                </c:pt>
                <c:pt idx="14">
                  <c:v>-24.357071807259878</c:v>
                </c:pt>
              </c:numCache>
            </c:numRef>
          </c:xVal>
          <c:yVal>
            <c:numRef>
              <c:f>'Cerl results and Ern data'!$AR$21:$AR$35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'Cerl results and Ern data'!$T$38:$T$52</c:f>
              <c:numCache>
                <c:ptCount val="15"/>
                <c:pt idx="0">
                  <c:v>-18.652943530144018</c:v>
                </c:pt>
                <c:pt idx="1">
                  <c:v>-20.889263285083224</c:v>
                </c:pt>
                <c:pt idx="2">
                  <c:v>-21.85333140706891</c:v>
                </c:pt>
                <c:pt idx="3">
                  <c:v>-22.38638875535004</c:v>
                </c:pt>
                <c:pt idx="4">
                  <c:v>-22.721538880304593</c:v>
                </c:pt>
                <c:pt idx="5">
                  <c:v>-22.949105178403318</c:v>
                </c:pt>
                <c:pt idx="6">
                  <c:v>-23.111375157203852</c:v>
                </c:pt>
                <c:pt idx="7">
                  <c:v>-23.230728841638904</c:v>
                </c:pt>
                <c:pt idx="8">
                  <c:v>-23.320061139681325</c:v>
                </c:pt>
                <c:pt idx="9">
                  <c:v>-23.38726298541549</c:v>
                </c:pt>
                <c:pt idx="10">
                  <c:v>-23.437365466301042</c:v>
                </c:pt>
                <c:pt idx="11">
                  <c:v>-23.47365007141211</c:v>
                </c:pt>
                <c:pt idx="12">
                  <c:v>-23.498257036394854</c:v>
                </c:pt>
                <c:pt idx="13">
                  <c:v>-23.512529695367988</c:v>
                </c:pt>
                <c:pt idx="14">
                  <c:v>-23.517208383776023</c:v>
                </c:pt>
              </c:numCache>
            </c:numRef>
          </c:xVal>
          <c:yVal>
            <c:numRef>
              <c:f>'Cerl results and Ern data'!$W$38:$W$52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yVal>
          <c:smooth val="0"/>
        </c:ser>
        <c:axId val="59925903"/>
        <c:axId val="2462216"/>
      </c:scatterChart>
      <c:valAx>
        <c:axId val="59925903"/>
        <c:scaling>
          <c:orientation val="maxMin"/>
          <c:max val="-14"/>
          <c:min val="-2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</a:rPr>
                  <a:t>13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C ‰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216"/>
        <c:crosses val="autoZero"/>
        <c:crossBetween val="midCat"/>
        <c:dispUnits/>
      </c:valAx>
      <c:valAx>
        <c:axId val="2462216"/>
        <c:scaling>
          <c:orientation val="maxMin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Depth from surface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5903"/>
        <c:crossesAt val="-3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833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0.5 m depth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data'!$C$42:$C$73</c:f>
              <c:numCache>
                <c:ptCount val="32"/>
                <c:pt idx="0">
                  <c:v>2635.5568979800955</c:v>
                </c:pt>
                <c:pt idx="1">
                  <c:v>5158.274860513051</c:v>
                </c:pt>
                <c:pt idx="2">
                  <c:v>6170.379577314628</c:v>
                </c:pt>
                <c:pt idx="3">
                  <c:v>6802.266662981489</c:v>
                </c:pt>
                <c:pt idx="4">
                  <c:v>8621.327376428811</c:v>
                </c:pt>
                <c:pt idx="6">
                  <c:v>8137.494709298327</c:v>
                </c:pt>
                <c:pt idx="7">
                  <c:v>2835.547150895519</c:v>
                </c:pt>
                <c:pt idx="8">
                  <c:v>803.7625855210872</c:v>
                </c:pt>
                <c:pt idx="9">
                  <c:v>1047.4185362047817</c:v>
                </c:pt>
                <c:pt idx="10">
                  <c:v>1494.7350774634847</c:v>
                </c:pt>
                <c:pt idx="11">
                  <c:v>1626.1417585947772</c:v>
                </c:pt>
                <c:pt idx="12">
                  <c:v>4330.395725947341</c:v>
                </c:pt>
                <c:pt idx="13">
                  <c:v>6385.946141861429</c:v>
                </c:pt>
                <c:pt idx="14">
                  <c:v>9929.96610595005</c:v>
                </c:pt>
                <c:pt idx="15">
                  <c:v>7801.789090091577</c:v>
                </c:pt>
                <c:pt idx="16">
                  <c:v>8416.439561234409</c:v>
                </c:pt>
                <c:pt idx="17">
                  <c:v>9398.459574983523</c:v>
                </c:pt>
                <c:pt idx="18">
                  <c:v>7615.467205877935</c:v>
                </c:pt>
                <c:pt idx="19">
                  <c:v>1713.994327031841</c:v>
                </c:pt>
                <c:pt idx="20">
                  <c:v>1483.119609892399</c:v>
                </c:pt>
                <c:pt idx="21">
                  <c:v>1387.6712328767123</c:v>
                </c:pt>
                <c:pt idx="22">
                  <c:v>1356.6964285714287</c:v>
                </c:pt>
                <c:pt idx="23">
                  <c:v>1835.5605889014723</c:v>
                </c:pt>
                <c:pt idx="24">
                  <c:v>2442.365097588978</c:v>
                </c:pt>
                <c:pt idx="25">
                  <c:v>5422.665148063781</c:v>
                </c:pt>
                <c:pt idx="26">
                  <c:v>8971.63677130045</c:v>
                </c:pt>
                <c:pt idx="27">
                  <c:v>8260.022650056626</c:v>
                </c:pt>
                <c:pt idx="28">
                  <c:v>7423.337091319053</c:v>
                </c:pt>
                <c:pt idx="29">
                  <c:v>6316.893424036281</c:v>
                </c:pt>
                <c:pt idx="30">
                  <c:v>6806.270996640537</c:v>
                </c:pt>
                <c:pt idx="31">
                  <c:v>3552.3755656108597</c:v>
                </c:pt>
              </c:numCache>
            </c:numRef>
          </c:yVal>
          <c:smooth val="0"/>
        </c:ser>
        <c:ser>
          <c:idx val="1"/>
          <c:order val="1"/>
          <c:tx>
            <c:v>1 m depth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data'!$G$42:$G$73</c:f>
              <c:numCache>
                <c:ptCount val="32"/>
                <c:pt idx="0">
                  <c:v>2635.5568979800955</c:v>
                </c:pt>
                <c:pt idx="1">
                  <c:v>3438.8499070087005</c:v>
                </c:pt>
                <c:pt idx="2">
                  <c:v>4913.450404157945</c:v>
                </c:pt>
                <c:pt idx="3">
                  <c:v>5759.252441324328</c:v>
                </c:pt>
                <c:pt idx="4">
                  <c:v>8136.519908616149</c:v>
                </c:pt>
                <c:pt idx="6">
                  <c:v>12300.289782141024</c:v>
                </c:pt>
                <c:pt idx="7">
                  <c:v>5103.984871611934</c:v>
                </c:pt>
                <c:pt idx="8">
                  <c:v>2147.194335606333</c:v>
                </c:pt>
                <c:pt idx="9">
                  <c:v>1966.8192513178678</c:v>
                </c:pt>
                <c:pt idx="10">
                  <c:v>2644.5312908969345</c:v>
                </c:pt>
                <c:pt idx="11">
                  <c:v>3136.1305344327848</c:v>
                </c:pt>
                <c:pt idx="12">
                  <c:v>3760.6068146384805</c:v>
                </c:pt>
                <c:pt idx="13">
                  <c:v>4675.424853862833</c:v>
                </c:pt>
                <c:pt idx="14">
                  <c:v>5250.3269065942795</c:v>
                </c:pt>
                <c:pt idx="15">
                  <c:v>6539.7349725767635</c:v>
                </c:pt>
                <c:pt idx="16">
                  <c:v>8416.439561234409</c:v>
                </c:pt>
                <c:pt idx="17">
                  <c:v>11576.151427723607</c:v>
                </c:pt>
                <c:pt idx="18">
                  <c:v>12162.014791476702</c:v>
                </c:pt>
                <c:pt idx="19">
                  <c:v>3656.5212310012607</c:v>
                </c:pt>
                <c:pt idx="20">
                  <c:v>2966.239219784798</c:v>
                </c:pt>
                <c:pt idx="21">
                  <c:v>2197.1461187214613</c:v>
                </c:pt>
                <c:pt idx="22">
                  <c:v>2148.1026785714284</c:v>
                </c:pt>
                <c:pt idx="23">
                  <c:v>2523.8958097395243</c:v>
                </c:pt>
                <c:pt idx="24">
                  <c:v>3372.789896670494</c:v>
                </c:pt>
                <c:pt idx="25">
                  <c:v>8076.3097949886105</c:v>
                </c:pt>
                <c:pt idx="26">
                  <c:v>11356.502242152466</c:v>
                </c:pt>
                <c:pt idx="27">
                  <c:v>8604.19026047565</c:v>
                </c:pt>
                <c:pt idx="28">
                  <c:v>7194.926719278466</c:v>
                </c:pt>
                <c:pt idx="29">
                  <c:v>9417.913832199547</c:v>
                </c:pt>
                <c:pt idx="30">
                  <c:v>9415.341545352743</c:v>
                </c:pt>
                <c:pt idx="31">
                  <c:v>5844.2307692307695</c:v>
                </c:pt>
              </c:numCache>
            </c:numRef>
          </c:yVal>
          <c:smooth val="0"/>
        </c:ser>
        <c:ser>
          <c:idx val="2"/>
          <c:order val="2"/>
          <c:tx>
            <c:v>1.5 m depth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'Cerl results and Ern data'!$A$42:$A$73</c:f>
              <c:strCache>
                <c:ptCount val="32"/>
                <c:pt idx="0">
                  <c:v>38827</c:v>
                </c:pt>
                <c:pt idx="1">
                  <c:v>38859</c:v>
                </c:pt>
                <c:pt idx="2">
                  <c:v>38890</c:v>
                </c:pt>
                <c:pt idx="3">
                  <c:v>38916</c:v>
                </c:pt>
                <c:pt idx="4">
                  <c:v>38950</c:v>
                </c:pt>
                <c:pt idx="5">
                  <c:v>38979</c:v>
                </c:pt>
                <c:pt idx="6">
                  <c:v>39013</c:v>
                </c:pt>
                <c:pt idx="7">
                  <c:v>39048</c:v>
                </c:pt>
                <c:pt idx="8">
                  <c:v>39084</c:v>
                </c:pt>
                <c:pt idx="9">
                  <c:v>39105</c:v>
                </c:pt>
                <c:pt idx="10">
                  <c:v>39135</c:v>
                </c:pt>
                <c:pt idx="11">
                  <c:v>39163</c:v>
                </c:pt>
                <c:pt idx="12">
                  <c:v>39196</c:v>
                </c:pt>
                <c:pt idx="13">
                  <c:v>39224</c:v>
                </c:pt>
                <c:pt idx="14">
                  <c:v>39252</c:v>
                </c:pt>
                <c:pt idx="15">
                  <c:v>39286</c:v>
                </c:pt>
                <c:pt idx="16">
                  <c:v>39314</c:v>
                </c:pt>
                <c:pt idx="17">
                  <c:v>39350</c:v>
                </c:pt>
                <c:pt idx="18">
                  <c:v>39370</c:v>
                </c:pt>
                <c:pt idx="19">
                  <c:v>39406</c:v>
                </c:pt>
                <c:pt idx="20">
                  <c:v>39431</c:v>
                </c:pt>
                <c:pt idx="21">
                  <c:v>39469</c:v>
                </c:pt>
                <c:pt idx="22">
                  <c:v>39489</c:v>
                </c:pt>
                <c:pt idx="23">
                  <c:v>39522</c:v>
                </c:pt>
                <c:pt idx="24">
                  <c:v>39559</c:v>
                </c:pt>
                <c:pt idx="25">
                  <c:v>39589</c:v>
                </c:pt>
                <c:pt idx="26">
                  <c:v>39620</c:v>
                </c:pt>
                <c:pt idx="27">
                  <c:v>39650</c:v>
                </c:pt>
                <c:pt idx="28">
                  <c:v>39678</c:v>
                </c:pt>
                <c:pt idx="29">
                  <c:v>39713</c:v>
                </c:pt>
                <c:pt idx="30">
                  <c:v>39734</c:v>
                </c:pt>
                <c:pt idx="31">
                  <c:v>39764</c:v>
                </c:pt>
              </c:strCache>
            </c:strRef>
          </c:xVal>
          <c:yVal>
            <c:numRef>
              <c:f>'Cerl results and Ern data'!$I$42:$I$73</c:f>
              <c:numCache>
                <c:ptCount val="32"/>
                <c:pt idx="0">
                  <c:v>2864.735758674017</c:v>
                </c:pt>
                <c:pt idx="1">
                  <c:v>2751.0799256069604</c:v>
                </c:pt>
                <c:pt idx="2">
                  <c:v>2970.9235001885245</c:v>
                </c:pt>
                <c:pt idx="3">
                  <c:v>4308.1022198882765</c:v>
                </c:pt>
                <c:pt idx="4">
                  <c:v>5014.142419517974</c:v>
                </c:pt>
                <c:pt idx="6">
                  <c:v>11082.953856101296</c:v>
                </c:pt>
                <c:pt idx="7">
                  <c:v>6805.313162149245</c:v>
                </c:pt>
                <c:pt idx="8">
                  <c:v>2962.4392437777215</c:v>
                </c:pt>
                <c:pt idx="9">
                  <c:v>2520.4664865555133</c:v>
                </c:pt>
                <c:pt idx="10">
                  <c:v>3564.3682616436945</c:v>
                </c:pt>
                <c:pt idx="11">
                  <c:v>3716.8954482166337</c:v>
                </c:pt>
                <c:pt idx="12">
                  <c:v>2848.9445565443034</c:v>
                </c:pt>
                <c:pt idx="13">
                  <c:v>2850.868813330995</c:v>
                </c:pt>
                <c:pt idx="14">
                  <c:v>2625.1634532971398</c:v>
                </c:pt>
                <c:pt idx="15">
                  <c:v>4818.7520850565625</c:v>
                </c:pt>
                <c:pt idx="16">
                  <c:v>4381.160319546679</c:v>
                </c:pt>
                <c:pt idx="17">
                  <c:v>8710.767410960338</c:v>
                </c:pt>
                <c:pt idx="18">
                  <c:v>12275.67848111667</c:v>
                </c:pt>
                <c:pt idx="19">
                  <c:v>6741.7110196585745</c:v>
                </c:pt>
                <c:pt idx="20">
                  <c:v>4905.703325028704</c:v>
                </c:pt>
                <c:pt idx="21">
                  <c:v>3353.538812785388</c:v>
                </c:pt>
                <c:pt idx="22">
                  <c:v>3052.566964285714</c:v>
                </c:pt>
                <c:pt idx="23">
                  <c:v>2638.618346545866</c:v>
                </c:pt>
                <c:pt idx="24">
                  <c:v>3372.789896670494</c:v>
                </c:pt>
                <c:pt idx="25">
                  <c:v>3345.8997722095673</c:v>
                </c:pt>
                <c:pt idx="26">
                  <c:v>2725.560538116592</c:v>
                </c:pt>
                <c:pt idx="27">
                  <c:v>3441.6761041902605</c:v>
                </c:pt>
                <c:pt idx="28">
                  <c:v>4225.591882750846</c:v>
                </c:pt>
                <c:pt idx="29">
                  <c:v>10221.8820861678</c:v>
                </c:pt>
                <c:pt idx="30">
                  <c:v>10436.282194848824</c:v>
                </c:pt>
                <c:pt idx="31">
                  <c:v>8021.493212669683</c:v>
                </c:pt>
              </c:numCache>
            </c:numRef>
          </c:yVal>
          <c:smooth val="0"/>
        </c:ser>
        <c:axId val="22159945"/>
        <c:axId val="65221778"/>
      </c:scatterChart>
      <c:valAx>
        <c:axId val="22159945"/>
        <c:scaling>
          <c:orientation val="minMax"/>
          <c:max val="39800"/>
          <c:min val="388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Date of sampling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221778"/>
        <c:crosses val="autoZero"/>
        <c:crossBetween val="midCat"/>
        <c:dispUnits/>
        <c:majorUnit val="182.995"/>
        <c:minorUnit val="20"/>
      </c:valAx>
      <c:valAx>
        <c:axId val="6522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159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044"/>
          <c:w val="0.164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381000</xdr:colOff>
      <xdr:row>0</xdr:row>
      <xdr:rowOff>85725</xdr:rowOff>
    </xdr:from>
    <xdr:to>
      <xdr:col>28</xdr:col>
      <xdr:colOff>47625</xdr:colOff>
      <xdr:row>0</xdr:row>
      <xdr:rowOff>914400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92925" y="85725"/>
          <a:ext cx="4191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46</xdr:row>
      <xdr:rowOff>142875</xdr:rowOff>
    </xdr:from>
    <xdr:to>
      <xdr:col>17</xdr:col>
      <xdr:colOff>47625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363075"/>
          <a:ext cx="7458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35</xdr:row>
      <xdr:rowOff>85725</xdr:rowOff>
    </xdr:from>
    <xdr:to>
      <xdr:col>11</xdr:col>
      <xdr:colOff>495300</xdr:colOff>
      <xdr:row>43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b="7737"/>
        <a:stretch>
          <a:fillRect/>
        </a:stretch>
      </xdr:blipFill>
      <xdr:spPr>
        <a:xfrm>
          <a:off x="6819900" y="7172325"/>
          <a:ext cx="3724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67</xdr:row>
      <xdr:rowOff>133350</xdr:rowOff>
    </xdr:from>
    <xdr:to>
      <xdr:col>2</xdr:col>
      <xdr:colOff>3057525</xdr:colOff>
      <xdr:row>79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6224"/>
        <a:stretch>
          <a:fillRect/>
        </a:stretch>
      </xdr:blipFill>
      <xdr:spPr>
        <a:xfrm>
          <a:off x="228600" y="13468350"/>
          <a:ext cx="40481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64</xdr:row>
      <xdr:rowOff>19050</xdr:rowOff>
    </xdr:from>
    <xdr:to>
      <xdr:col>14</xdr:col>
      <xdr:colOff>219075</xdr:colOff>
      <xdr:row>73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2513"/>
        <a:stretch>
          <a:fillRect/>
        </a:stretch>
      </xdr:blipFill>
      <xdr:spPr>
        <a:xfrm>
          <a:off x="6610350" y="12782550"/>
          <a:ext cx="54864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752475</xdr:colOff>
      <xdr:row>27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0"/>
          <a:ext cx="5048250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14</xdr:row>
      <xdr:rowOff>152400</xdr:rowOff>
    </xdr:from>
    <xdr:to>
      <xdr:col>13</xdr:col>
      <xdr:colOff>114300</xdr:colOff>
      <xdr:row>32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3200400"/>
          <a:ext cx="61722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333375</xdr:colOff>
      <xdr:row>13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190500"/>
          <a:ext cx="33813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21</xdr:col>
      <xdr:colOff>257175</xdr:colOff>
      <xdr:row>5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96875" y="647700"/>
          <a:ext cx="3686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0.64075</cdr:y>
    </cdr:from>
    <cdr:to>
      <cdr:x>0.73725</cdr:x>
      <cdr:y>0.76225</cdr:y>
    </cdr:to>
    <cdr:sp>
      <cdr:nvSpPr>
        <cdr:cNvPr id="1" name="Text Box 5"/>
        <cdr:cNvSpPr txBox="1">
          <a:spLocks noChangeArrowheads="1"/>
        </cdr:cNvSpPr>
      </cdr:nvSpPr>
      <cdr:spPr>
        <a:xfrm>
          <a:off x="5372100" y="3657600"/>
          <a:ext cx="14859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Cerling model: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soil respiration,  1 mmol cm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hr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0.37775</cdr:x>
      <cdr:y>0.01675</cdr:y>
    </cdr:from>
    <cdr:to>
      <cdr:x>0.43825</cdr:x>
      <cdr:y>0.1255</cdr:y>
    </cdr:to>
    <cdr:sp>
      <cdr:nvSpPr>
        <cdr:cNvPr id="2" name="Text Box 6"/>
        <cdr:cNvSpPr txBox="1">
          <a:spLocks noChangeArrowheads="1"/>
        </cdr:cNvSpPr>
      </cdr:nvSpPr>
      <cdr:spPr>
        <a:xfrm>
          <a:off x="3514725" y="95250"/>
          <a:ext cx="5619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d</a:t>
          </a:r>
        </a:p>
      </cdr:txBody>
    </cdr:sp>
  </cdr:relSizeAnchor>
  <cdr:relSizeAnchor xmlns:cdr="http://schemas.openxmlformats.org/drawingml/2006/chartDrawing">
    <cdr:from>
      <cdr:x>0.07575</cdr:x>
      <cdr:y>0.06425</cdr:y>
    </cdr:from>
    <cdr:to>
      <cdr:x>0.0765</cdr:x>
      <cdr:y>0.36175</cdr:y>
    </cdr:to>
    <cdr:sp>
      <cdr:nvSpPr>
        <cdr:cNvPr id="3" name="Line 11"/>
        <cdr:cNvSpPr>
          <a:spLocks/>
        </cdr:cNvSpPr>
      </cdr:nvSpPr>
      <cdr:spPr>
        <a:xfrm flipH="1">
          <a:off x="704850" y="361950"/>
          <a:ext cx="952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0.36175</cdr:y>
    </cdr:from>
    <cdr:to>
      <cdr:x>0.31975</cdr:x>
      <cdr:y>0.36175</cdr:y>
    </cdr:to>
    <cdr:sp>
      <cdr:nvSpPr>
        <cdr:cNvPr id="4" name="Line 12"/>
        <cdr:cNvSpPr>
          <a:spLocks/>
        </cdr:cNvSpPr>
      </cdr:nvSpPr>
      <cdr:spPr>
        <a:xfrm flipH="1" flipV="1">
          <a:off x="704850" y="20669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0.33475</cdr:y>
    </cdr:from>
    <cdr:to>
      <cdr:x>0.31975</cdr:x>
      <cdr:y>0.33475</cdr:y>
    </cdr:to>
    <cdr:sp>
      <cdr:nvSpPr>
        <cdr:cNvPr id="5" name="Line 13"/>
        <cdr:cNvSpPr>
          <a:spLocks/>
        </cdr:cNvSpPr>
      </cdr:nvSpPr>
      <cdr:spPr>
        <a:xfrm flipV="1">
          <a:off x="638175" y="1905000"/>
          <a:ext cx="23336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0.10525</cdr:x>
      <cdr:y>0.0905</cdr:y>
    </cdr:from>
    <cdr:to>
      <cdr:x>0.28775</cdr:x>
      <cdr:y>0.33475</cdr:y>
    </cdr:to>
    <cdr:sp>
      <cdr:nvSpPr>
        <cdr:cNvPr id="6" name="Freeform 14"/>
        <cdr:cNvSpPr>
          <a:spLocks/>
        </cdr:cNvSpPr>
      </cdr:nvSpPr>
      <cdr:spPr>
        <a:xfrm>
          <a:off x="971550" y="514350"/>
          <a:ext cx="1695450" cy="1400175"/>
        </a:xfrm>
        <a:custGeom>
          <a:pathLst>
            <a:path h="1366837" w="1685925">
              <a:moveTo>
                <a:pt x="0" y="1366837"/>
              </a:moveTo>
              <a:cubicBezTo>
                <a:pt x="41275" y="1346993"/>
                <a:pt x="82550" y="1327149"/>
                <a:pt x="123825" y="1252537"/>
              </a:cubicBezTo>
              <a:cubicBezTo>
                <a:pt x="165100" y="1177925"/>
                <a:pt x="222250" y="1011237"/>
                <a:pt x="247650" y="919162"/>
              </a:cubicBezTo>
              <a:cubicBezTo>
                <a:pt x="273050" y="827087"/>
                <a:pt x="266700" y="782637"/>
                <a:pt x="276225" y="700087"/>
              </a:cubicBezTo>
              <a:cubicBezTo>
                <a:pt x="285750" y="617537"/>
                <a:pt x="298450" y="507999"/>
                <a:pt x="304800" y="423862"/>
              </a:cubicBezTo>
              <a:cubicBezTo>
                <a:pt x="311150" y="339725"/>
                <a:pt x="306388" y="263524"/>
                <a:pt x="314325" y="195262"/>
              </a:cubicBezTo>
              <a:cubicBezTo>
                <a:pt x="322262" y="127000"/>
                <a:pt x="342900" y="28574"/>
                <a:pt x="352425" y="14287"/>
              </a:cubicBezTo>
              <a:cubicBezTo>
                <a:pt x="361950" y="0"/>
                <a:pt x="361950" y="71437"/>
                <a:pt x="371475" y="109537"/>
              </a:cubicBezTo>
              <a:cubicBezTo>
                <a:pt x="381000" y="147637"/>
                <a:pt x="392113" y="196850"/>
                <a:pt x="409575" y="242887"/>
              </a:cubicBezTo>
              <a:cubicBezTo>
                <a:pt x="427037" y="288924"/>
                <a:pt x="452438" y="338137"/>
                <a:pt x="476250" y="385762"/>
              </a:cubicBezTo>
              <a:cubicBezTo>
                <a:pt x="500062" y="433387"/>
                <a:pt x="514350" y="471487"/>
                <a:pt x="552450" y="528637"/>
              </a:cubicBezTo>
              <a:cubicBezTo>
                <a:pt x="590550" y="585787"/>
                <a:pt x="638175" y="668337"/>
                <a:pt x="704850" y="728662"/>
              </a:cubicBezTo>
              <a:cubicBezTo>
                <a:pt x="771525" y="788987"/>
                <a:pt x="876300" y="841375"/>
                <a:pt x="952500" y="890587"/>
              </a:cubicBezTo>
              <a:cubicBezTo>
                <a:pt x="1028700" y="939799"/>
                <a:pt x="1087438" y="987425"/>
                <a:pt x="1162050" y="1023937"/>
              </a:cubicBezTo>
              <a:cubicBezTo>
                <a:pt x="1236662" y="1060449"/>
                <a:pt x="1330325" y="1089025"/>
                <a:pt x="1400175" y="1109662"/>
              </a:cubicBezTo>
              <a:cubicBezTo>
                <a:pt x="1470025" y="1130299"/>
                <a:pt x="1533525" y="1139825"/>
                <a:pt x="1581150" y="1147762"/>
              </a:cubicBezTo>
              <a:cubicBezTo>
                <a:pt x="1628775" y="1155699"/>
                <a:pt x="1668463" y="1155700"/>
                <a:pt x="1685925" y="1157287"/>
              </a:cubicBezTo>
            </a:path>
          </a:pathLst>
        </a:custGeom>
        <a:noFill/>
        <a:ln w="476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0.20575</cdr:y>
    </cdr:from>
    <cdr:to>
      <cdr:x>0.076</cdr:x>
      <cdr:y>0.20575</cdr:y>
    </cdr:to>
    <cdr:sp>
      <cdr:nvSpPr>
        <cdr:cNvPr id="7" name="Line 15"/>
        <cdr:cNvSpPr>
          <a:spLocks/>
        </cdr:cNvSpPr>
      </cdr:nvSpPr>
      <cdr:spPr>
        <a:xfrm flipH="1" flipV="1">
          <a:off x="638175" y="1171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0.07525</cdr:y>
    </cdr:from>
    <cdr:to>
      <cdr:x>0.076</cdr:x>
      <cdr:y>0.07525</cdr:y>
    </cdr:to>
    <cdr:sp>
      <cdr:nvSpPr>
        <cdr:cNvPr id="8" name="Line 16"/>
        <cdr:cNvSpPr>
          <a:spLocks/>
        </cdr:cNvSpPr>
      </cdr:nvSpPr>
      <cdr:spPr>
        <a:xfrm flipH="1" flipV="1">
          <a:off x="638175" y="428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0.36175</cdr:y>
    </cdr:from>
    <cdr:to>
      <cdr:x>0.07575</cdr:x>
      <cdr:y>0.37425</cdr:y>
    </cdr:to>
    <cdr:sp>
      <cdr:nvSpPr>
        <cdr:cNvPr id="9" name="Line 17"/>
        <cdr:cNvSpPr>
          <a:spLocks/>
        </cdr:cNvSpPr>
      </cdr:nvSpPr>
      <cdr:spPr>
        <a:xfrm>
          <a:off x="695325" y="2066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0.36175</cdr:y>
    </cdr:from>
    <cdr:to>
      <cdr:x>0.1245</cdr:x>
      <cdr:y>0.37325</cdr:y>
    </cdr:to>
    <cdr:sp>
      <cdr:nvSpPr>
        <cdr:cNvPr id="10" name="Line 18"/>
        <cdr:cNvSpPr>
          <a:spLocks/>
        </cdr:cNvSpPr>
      </cdr:nvSpPr>
      <cdr:spPr>
        <a:xfrm>
          <a:off x="1152525" y="2066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0.36175</cdr:y>
    </cdr:from>
    <cdr:to>
      <cdr:x>0.173</cdr:x>
      <cdr:y>0.37425</cdr:y>
    </cdr:to>
    <cdr:sp>
      <cdr:nvSpPr>
        <cdr:cNvPr id="11" name="Line 19"/>
        <cdr:cNvSpPr>
          <a:spLocks/>
        </cdr:cNvSpPr>
      </cdr:nvSpPr>
      <cdr:spPr>
        <a:xfrm>
          <a:off x="1609725" y="2066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0.361</cdr:y>
    </cdr:from>
    <cdr:to>
      <cdr:x>0.2215</cdr:x>
      <cdr:y>0.37325</cdr:y>
    </cdr:to>
    <cdr:sp>
      <cdr:nvSpPr>
        <cdr:cNvPr id="12" name="Line 20"/>
        <cdr:cNvSpPr>
          <a:spLocks/>
        </cdr:cNvSpPr>
      </cdr:nvSpPr>
      <cdr:spPr>
        <a:xfrm>
          <a:off x="20574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0.361</cdr:y>
    </cdr:from>
    <cdr:to>
      <cdr:x>0.27025</cdr:x>
      <cdr:y>0.37325</cdr:y>
    </cdr:to>
    <cdr:sp>
      <cdr:nvSpPr>
        <cdr:cNvPr id="13" name="Line 21"/>
        <cdr:cNvSpPr>
          <a:spLocks/>
        </cdr:cNvSpPr>
      </cdr:nvSpPr>
      <cdr:spPr>
        <a:xfrm>
          <a:off x="2514600" y="20574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0.36025</cdr:y>
    </cdr:from>
    <cdr:to>
      <cdr:x>0.31975</cdr:x>
      <cdr:y>0.37425</cdr:y>
    </cdr:to>
    <cdr:sp>
      <cdr:nvSpPr>
        <cdr:cNvPr id="14" name="Line 22"/>
        <cdr:cNvSpPr>
          <a:spLocks/>
        </cdr:cNvSpPr>
      </cdr:nvSpPr>
      <cdr:spPr>
        <a:xfrm>
          <a:off x="2971800" y="2057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0.38025</cdr:y>
    </cdr:from>
    <cdr:to>
      <cdr:x>0.10525</cdr:x>
      <cdr:y>0.4105</cdr:y>
    </cdr:to>
    <cdr:sp>
      <cdr:nvSpPr>
        <cdr:cNvPr id="15" name="Text Box 23"/>
        <cdr:cNvSpPr txBox="1">
          <a:spLocks noChangeArrowheads="1"/>
        </cdr:cNvSpPr>
      </cdr:nvSpPr>
      <cdr:spPr>
        <a:xfrm>
          <a:off x="542925" y="2171700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1950</a:t>
          </a:r>
        </a:p>
      </cdr:txBody>
    </cdr:sp>
  </cdr:relSizeAnchor>
  <cdr:relSizeAnchor xmlns:cdr="http://schemas.openxmlformats.org/drawingml/2006/chartDrawing">
    <cdr:from>
      <cdr:x>0.30075</cdr:x>
      <cdr:y>0.38025</cdr:y>
    </cdr:from>
    <cdr:to>
      <cdr:x>0.34725</cdr:x>
      <cdr:y>0.41125</cdr:y>
    </cdr:to>
    <cdr:sp>
      <cdr:nvSpPr>
        <cdr:cNvPr id="16" name="Text Box 24"/>
        <cdr:cNvSpPr txBox="1">
          <a:spLocks noChangeArrowheads="1"/>
        </cdr:cNvSpPr>
      </cdr:nvSpPr>
      <cdr:spPr>
        <a:xfrm>
          <a:off x="2790825" y="217170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0.03725</cdr:x>
      <cdr:y>0.32075</cdr:y>
    </cdr:from>
    <cdr:to>
      <cdr:x>0.084</cdr:x>
      <cdr:y>0.35175</cdr:y>
    </cdr:to>
    <cdr:sp>
      <cdr:nvSpPr>
        <cdr:cNvPr id="17" name="Text Box 25"/>
        <cdr:cNvSpPr txBox="1">
          <a:spLocks noChangeArrowheads="1"/>
        </cdr:cNvSpPr>
      </cdr:nvSpPr>
      <cdr:spPr>
        <a:xfrm>
          <a:off x="342900" y="182880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</a:t>
          </a:r>
        </a:p>
      </cdr:txBody>
    </cdr:sp>
  </cdr:relSizeAnchor>
  <cdr:relSizeAnchor xmlns:cdr="http://schemas.openxmlformats.org/drawingml/2006/chartDrawing">
    <cdr:from>
      <cdr:x>0.03725</cdr:x>
      <cdr:y>0.061</cdr:y>
    </cdr:from>
    <cdr:to>
      <cdr:x>0.084</cdr:x>
      <cdr:y>0.09125</cdr:y>
    </cdr:to>
    <cdr:sp>
      <cdr:nvSpPr>
        <cdr:cNvPr id="18" name="Text Box 26"/>
        <cdr:cNvSpPr txBox="1">
          <a:spLocks noChangeArrowheads="1"/>
        </cdr:cNvSpPr>
      </cdr:nvSpPr>
      <cdr:spPr>
        <a:xfrm>
          <a:off x="342900" y="3429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</a:t>
          </a:r>
        </a:p>
      </cdr:txBody>
    </cdr:sp>
  </cdr:relSizeAnchor>
  <cdr:relSizeAnchor xmlns:cdr="http://schemas.openxmlformats.org/drawingml/2006/chartDrawing">
    <cdr:from>
      <cdr:x>0.15625</cdr:x>
      <cdr:y>0.39125</cdr:y>
    </cdr:from>
    <cdr:to>
      <cdr:x>0.215</cdr:x>
      <cdr:y>0.43825</cdr:y>
    </cdr:to>
    <cdr:sp>
      <cdr:nvSpPr>
        <cdr:cNvPr id="19" name="Text Box 27"/>
        <cdr:cNvSpPr txBox="1">
          <a:spLocks noChangeArrowheads="1"/>
        </cdr:cNvSpPr>
      </cdr:nvSpPr>
      <cdr:spPr>
        <a:xfrm>
          <a:off x="1447800" y="2228850"/>
          <a:ext cx="54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Year</a:t>
          </a:r>
        </a:p>
      </cdr:txBody>
    </cdr:sp>
  </cdr:relSizeAnchor>
  <cdr:relSizeAnchor xmlns:cdr="http://schemas.openxmlformats.org/drawingml/2006/chartDrawing">
    <cdr:from>
      <cdr:x>0.0235</cdr:x>
      <cdr:y>0.16225</cdr:y>
    </cdr:from>
    <cdr:to>
      <cdr:x>0.076</cdr:x>
      <cdr:y>0.26675</cdr:y>
    </cdr:to>
    <cdr:sp>
      <cdr:nvSpPr>
        <cdr:cNvPr id="20" name="Text Box 28"/>
        <cdr:cNvSpPr txBox="1">
          <a:spLocks noChangeArrowheads="1"/>
        </cdr:cNvSpPr>
      </cdr:nvSpPr>
      <cdr:spPr>
        <a:xfrm>
          <a:off x="209550" y="923925"/>
          <a:ext cx="4857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pmc</a:t>
          </a:r>
        </a:p>
      </cdr:txBody>
    </cdr:sp>
  </cdr:relSizeAnchor>
  <cdr:relSizeAnchor xmlns:cdr="http://schemas.openxmlformats.org/drawingml/2006/chartDrawing">
    <cdr:from>
      <cdr:x>0.00825</cdr:x>
      <cdr:y>0</cdr:y>
    </cdr:from>
    <cdr:to>
      <cdr:x>0.06975</cdr:x>
      <cdr:y>0.1085</cdr:y>
    </cdr:to>
    <cdr:sp>
      <cdr:nvSpPr>
        <cdr:cNvPr id="21" name="Text Box 29"/>
        <cdr:cNvSpPr txBox="1">
          <a:spLocks noChangeArrowheads="1"/>
        </cdr:cNvSpPr>
      </cdr:nvSpPr>
      <cdr:spPr>
        <a:xfrm>
          <a:off x="76200" y="0"/>
          <a:ext cx="5715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</cdr:x>
      <cdr:y>0.42275</cdr:y>
    </cdr:from>
    <cdr:to>
      <cdr:x>0.06125</cdr:x>
      <cdr:y>0.5325</cdr:y>
    </cdr:to>
    <cdr:sp>
      <cdr:nvSpPr>
        <cdr:cNvPr id="22" name="Text Box 30"/>
        <cdr:cNvSpPr txBox="1">
          <a:spLocks noChangeArrowheads="1"/>
        </cdr:cNvSpPr>
      </cdr:nvSpPr>
      <cdr:spPr>
        <a:xfrm>
          <a:off x="0" y="2409825"/>
          <a:ext cx="5715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0.0765</cdr:x>
      <cdr:y>0.51325</cdr:y>
    </cdr:from>
    <cdr:to>
      <cdr:x>0.1325</cdr:x>
      <cdr:y>0.51325</cdr:y>
    </cdr:to>
    <cdr:sp>
      <cdr:nvSpPr>
        <cdr:cNvPr id="23" name="Line 31"/>
        <cdr:cNvSpPr>
          <a:spLocks/>
        </cdr:cNvSpPr>
      </cdr:nvSpPr>
      <cdr:spPr>
        <a:xfrm>
          <a:off x="704850" y="29241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0.51325</cdr:y>
    </cdr:from>
    <cdr:to>
      <cdr:x>0.06925</cdr:x>
      <cdr:y>0.90975</cdr:y>
    </cdr:to>
    <cdr:sp>
      <cdr:nvSpPr>
        <cdr:cNvPr id="24" name="Rectangle 32"/>
        <cdr:cNvSpPr>
          <a:spLocks/>
        </cdr:cNvSpPr>
      </cdr:nvSpPr>
      <cdr:spPr>
        <a:xfrm>
          <a:off x="342900" y="2924175"/>
          <a:ext cx="2952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0.03425</cdr:x>
      <cdr:y>0.51325</cdr:y>
    </cdr:from>
    <cdr:to>
      <cdr:x>0.0765</cdr:x>
      <cdr:y>0.9985</cdr:y>
    </cdr:to>
    <cdr:sp>
      <cdr:nvSpPr>
        <cdr:cNvPr id="25" name="Text Box 33"/>
        <cdr:cNvSpPr txBox="1">
          <a:spLocks noChangeArrowheads="1"/>
        </cdr:cNvSpPr>
      </cdr:nvSpPr>
      <cdr:spPr>
        <a:xfrm>
          <a:off x="314325" y="2924175"/>
          <a:ext cx="390525" cy="2771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organic carbon pool  </a:t>
          </a: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.</a:t>
          </a:r>
        </a:p>
      </cdr:txBody>
    </cdr:sp>
  </cdr:relSizeAnchor>
  <cdr:relSizeAnchor xmlns:cdr="http://schemas.openxmlformats.org/drawingml/2006/chartDrawing">
    <cdr:from>
      <cdr:x>0.07425</cdr:x>
      <cdr:y>0.5675</cdr:y>
    </cdr:from>
    <cdr:to>
      <cdr:x>0.13</cdr:x>
      <cdr:y>0.5675</cdr:y>
    </cdr:to>
    <cdr:sp>
      <cdr:nvSpPr>
        <cdr:cNvPr id="26" name="Line 35"/>
        <cdr:cNvSpPr>
          <a:spLocks/>
        </cdr:cNvSpPr>
      </cdr:nvSpPr>
      <cdr:spPr>
        <a:xfrm>
          <a:off x="685800" y="3238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0.6145</cdr:y>
    </cdr:from>
    <cdr:to>
      <cdr:x>0.1315</cdr:x>
      <cdr:y>0.6145</cdr:y>
    </cdr:to>
    <cdr:sp>
      <cdr:nvSpPr>
        <cdr:cNvPr id="27" name="Line 36"/>
        <cdr:cNvSpPr>
          <a:spLocks/>
        </cdr:cNvSpPr>
      </cdr:nvSpPr>
      <cdr:spPr>
        <a:xfrm>
          <a:off x="704850" y="3505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0.74125</cdr:y>
    </cdr:from>
    <cdr:to>
      <cdr:x>0.131</cdr:x>
      <cdr:y>0.74125</cdr:y>
    </cdr:to>
    <cdr:sp>
      <cdr:nvSpPr>
        <cdr:cNvPr id="28" name="Line 40"/>
        <cdr:cNvSpPr>
          <a:spLocks/>
        </cdr:cNvSpPr>
      </cdr:nvSpPr>
      <cdr:spPr>
        <a:xfrm>
          <a:off x="704850" y="422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0.79625</cdr:y>
    </cdr:from>
    <cdr:to>
      <cdr:x>0.131</cdr:x>
      <cdr:y>0.79625</cdr:y>
    </cdr:to>
    <cdr:sp>
      <cdr:nvSpPr>
        <cdr:cNvPr id="29" name="Line 41"/>
        <cdr:cNvSpPr>
          <a:spLocks/>
        </cdr:cNvSpPr>
      </cdr:nvSpPr>
      <cdr:spPr>
        <a:xfrm>
          <a:off x="704850" y="4543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0.84325</cdr:y>
    </cdr:from>
    <cdr:to>
      <cdr:x>0.132</cdr:x>
      <cdr:y>0.84325</cdr:y>
    </cdr:to>
    <cdr:sp>
      <cdr:nvSpPr>
        <cdr:cNvPr id="30" name="Line 43"/>
        <cdr:cNvSpPr>
          <a:spLocks/>
        </cdr:cNvSpPr>
      </cdr:nvSpPr>
      <cdr:spPr>
        <a:xfrm>
          <a:off x="704850" y="48101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0.89675</cdr:y>
    </cdr:from>
    <cdr:to>
      <cdr:x>0.1315</cdr:x>
      <cdr:y>0.89675</cdr:y>
    </cdr:to>
    <cdr:sp>
      <cdr:nvSpPr>
        <cdr:cNvPr id="31" name="Line 44"/>
        <cdr:cNvSpPr>
          <a:spLocks/>
        </cdr:cNvSpPr>
      </cdr:nvSpPr>
      <cdr:spPr>
        <a:xfrm>
          <a:off x="704850" y="5124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0.63225</cdr:y>
    </cdr:from>
    <cdr:to>
      <cdr:x>0.183</cdr:x>
      <cdr:y>0.77225</cdr:y>
    </cdr:to>
    <cdr:sp>
      <cdr:nvSpPr>
        <cdr:cNvPr id="32" name="Text Box 45"/>
        <cdr:cNvSpPr txBox="1">
          <a:spLocks noChangeArrowheads="1"/>
        </cdr:cNvSpPr>
      </cdr:nvSpPr>
      <cdr:spPr>
        <a:xfrm>
          <a:off x="638175" y="3609975"/>
          <a:ext cx="10572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
production</a:t>
          </a:r>
        </a:p>
      </cdr:txBody>
    </cdr:sp>
  </cdr:relSizeAnchor>
  <cdr:relSizeAnchor xmlns:cdr="http://schemas.openxmlformats.org/drawingml/2006/chartDrawing">
    <cdr:from>
      <cdr:x>0.173</cdr:x>
      <cdr:y>0.53025</cdr:y>
    </cdr:from>
    <cdr:to>
      <cdr:x>0.1975</cdr:x>
      <cdr:y>0.55575</cdr:y>
    </cdr:to>
    <cdr:sp>
      <cdr:nvSpPr>
        <cdr:cNvPr id="33" name="Line 48"/>
        <cdr:cNvSpPr>
          <a:spLocks/>
        </cdr:cNvSpPr>
      </cdr:nvSpPr>
      <cdr:spPr>
        <a:xfrm flipH="1" flipV="1">
          <a:off x="1609725" y="3028950"/>
          <a:ext cx="2286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0.5365</cdr:y>
    </cdr:from>
    <cdr:to>
      <cdr:x>0.21875</cdr:x>
      <cdr:y>0.55575</cdr:y>
    </cdr:to>
    <cdr:sp>
      <cdr:nvSpPr>
        <cdr:cNvPr id="34" name="Line 49"/>
        <cdr:cNvSpPr>
          <a:spLocks/>
        </cdr:cNvSpPr>
      </cdr:nvSpPr>
      <cdr:spPr>
        <a:xfrm flipV="1">
          <a:off x="1847850" y="3057525"/>
          <a:ext cx="1905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0.55575</cdr:y>
    </cdr:from>
    <cdr:to>
      <cdr:x>0.2215</cdr:x>
      <cdr:y>0.58125</cdr:y>
    </cdr:to>
    <cdr:sp>
      <cdr:nvSpPr>
        <cdr:cNvPr id="35" name="Line 52"/>
        <cdr:cNvSpPr>
          <a:spLocks/>
        </cdr:cNvSpPr>
      </cdr:nvSpPr>
      <cdr:spPr>
        <a:xfrm>
          <a:off x="1838325" y="317182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0.55425</cdr:y>
    </cdr:from>
    <cdr:to>
      <cdr:x>0.19875</cdr:x>
      <cdr:y>0.57675</cdr:y>
    </cdr:to>
    <cdr:sp>
      <cdr:nvSpPr>
        <cdr:cNvPr id="36" name="Line 54"/>
        <cdr:cNvSpPr>
          <a:spLocks/>
        </cdr:cNvSpPr>
      </cdr:nvSpPr>
      <cdr:spPr>
        <a:xfrm flipH="1">
          <a:off x="1628775" y="316230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0.19425</cdr:x>
      <cdr:y>0.4985</cdr:y>
    </cdr:from>
    <cdr:to>
      <cdr:x>0.197</cdr:x>
      <cdr:y>0.55425</cdr:y>
    </cdr:to>
    <cdr:sp>
      <cdr:nvSpPr>
        <cdr:cNvPr id="37" name="Line 55"/>
        <cdr:cNvSpPr>
          <a:spLocks/>
        </cdr:cNvSpPr>
      </cdr:nvSpPr>
      <cdr:spPr>
        <a:xfrm flipH="1" flipV="1">
          <a:off x="1800225" y="2847975"/>
          <a:ext cx="28575" cy="314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0.55575</cdr:y>
    </cdr:from>
    <cdr:to>
      <cdr:x>0.20025</cdr:x>
      <cdr:y>0.5975</cdr:y>
    </cdr:to>
    <cdr:sp>
      <cdr:nvSpPr>
        <cdr:cNvPr id="38" name="Line 56"/>
        <cdr:cNvSpPr>
          <a:spLocks/>
        </cdr:cNvSpPr>
      </cdr:nvSpPr>
      <cdr:spPr>
        <a:xfrm>
          <a:off x="1838325" y="3171825"/>
          <a:ext cx="19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0.178</cdr:x>
      <cdr:y>0.814</cdr:y>
    </cdr:from>
    <cdr:to>
      <cdr:x>0.20375</cdr:x>
      <cdr:y>0.84425</cdr:y>
    </cdr:to>
    <cdr:sp>
      <cdr:nvSpPr>
        <cdr:cNvPr id="39" name="Line 57"/>
        <cdr:cNvSpPr>
          <a:spLocks/>
        </cdr:cNvSpPr>
      </cdr:nvSpPr>
      <cdr:spPr>
        <a:xfrm flipH="1" flipV="1">
          <a:off x="1647825" y="4648200"/>
          <a:ext cx="2381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0.8185</cdr:y>
    </cdr:from>
    <cdr:to>
      <cdr:x>0.232</cdr:x>
      <cdr:y>0.84425</cdr:y>
    </cdr:to>
    <cdr:sp>
      <cdr:nvSpPr>
        <cdr:cNvPr id="40" name="Line 58"/>
        <cdr:cNvSpPr>
          <a:spLocks/>
        </cdr:cNvSpPr>
      </cdr:nvSpPr>
      <cdr:spPr>
        <a:xfrm flipV="1">
          <a:off x="1895475" y="4676775"/>
          <a:ext cx="266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0.84425</cdr:y>
    </cdr:from>
    <cdr:to>
      <cdr:x>0.23025</cdr:x>
      <cdr:y>0.86875</cdr:y>
    </cdr:to>
    <cdr:sp>
      <cdr:nvSpPr>
        <cdr:cNvPr id="41" name="Line 59"/>
        <cdr:cNvSpPr>
          <a:spLocks/>
        </cdr:cNvSpPr>
      </cdr:nvSpPr>
      <cdr:spPr>
        <a:xfrm>
          <a:off x="1895475" y="481965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0.18025</cdr:x>
      <cdr:y>0.84425</cdr:y>
    </cdr:from>
    <cdr:to>
      <cdr:x>0.20375</cdr:x>
      <cdr:y>0.8665</cdr:y>
    </cdr:to>
    <cdr:sp>
      <cdr:nvSpPr>
        <cdr:cNvPr id="42" name="Line 60"/>
        <cdr:cNvSpPr>
          <a:spLocks/>
        </cdr:cNvSpPr>
      </cdr:nvSpPr>
      <cdr:spPr>
        <a:xfrm flipH="1">
          <a:off x="1676400" y="4819650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0.203</cdr:x>
      <cdr:y>0.7985</cdr:y>
    </cdr:from>
    <cdr:to>
      <cdr:x>0.20375</cdr:x>
      <cdr:y>0.841</cdr:y>
    </cdr:to>
    <cdr:sp>
      <cdr:nvSpPr>
        <cdr:cNvPr id="43" name="Line 61"/>
        <cdr:cNvSpPr>
          <a:spLocks/>
        </cdr:cNvSpPr>
      </cdr:nvSpPr>
      <cdr:spPr>
        <a:xfrm flipH="1" flipV="1">
          <a:off x="1885950" y="4562475"/>
          <a:ext cx="9525" cy="247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0.84425</cdr:y>
    </cdr:from>
    <cdr:to>
      <cdr:x>0.20525</cdr:x>
      <cdr:y>0.8875</cdr:y>
    </cdr:to>
    <cdr:sp>
      <cdr:nvSpPr>
        <cdr:cNvPr id="44" name="Line 62"/>
        <cdr:cNvSpPr>
          <a:spLocks/>
        </cdr:cNvSpPr>
      </cdr:nvSpPr>
      <cdr:spPr>
        <a:xfrm>
          <a:off x="1895475" y="48196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0.6755</cdr:y>
    </cdr:from>
    <cdr:to>
      <cdr:x>0.2155</cdr:x>
      <cdr:y>0.7035</cdr:y>
    </cdr:to>
    <cdr:sp>
      <cdr:nvSpPr>
        <cdr:cNvPr id="45" name="Line 63"/>
        <cdr:cNvSpPr>
          <a:spLocks/>
        </cdr:cNvSpPr>
      </cdr:nvSpPr>
      <cdr:spPr>
        <a:xfrm flipH="1" flipV="1">
          <a:off x="1781175" y="3857625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0.678</cdr:y>
    </cdr:from>
    <cdr:to>
      <cdr:x>0.2425</cdr:x>
      <cdr:y>0.7035</cdr:y>
    </cdr:to>
    <cdr:sp>
      <cdr:nvSpPr>
        <cdr:cNvPr id="46" name="Line 64"/>
        <cdr:cNvSpPr>
          <a:spLocks/>
        </cdr:cNvSpPr>
      </cdr:nvSpPr>
      <cdr:spPr>
        <a:xfrm flipV="1">
          <a:off x="1990725" y="3867150"/>
          <a:ext cx="2571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0.7035</cdr:y>
    </cdr:from>
    <cdr:to>
      <cdr:x>0.2395</cdr:x>
      <cdr:y>0.72975</cdr:y>
    </cdr:to>
    <cdr:sp>
      <cdr:nvSpPr>
        <cdr:cNvPr id="47" name="Line 65"/>
        <cdr:cNvSpPr>
          <a:spLocks/>
        </cdr:cNvSpPr>
      </cdr:nvSpPr>
      <cdr:spPr>
        <a:xfrm>
          <a:off x="2000250" y="4019550"/>
          <a:ext cx="2190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0.7035</cdr:y>
    </cdr:from>
    <cdr:to>
      <cdr:x>0.2135</cdr:x>
      <cdr:y>0.7305</cdr:y>
    </cdr:to>
    <cdr:sp>
      <cdr:nvSpPr>
        <cdr:cNvPr id="48" name="Line 66"/>
        <cdr:cNvSpPr>
          <a:spLocks/>
        </cdr:cNvSpPr>
      </cdr:nvSpPr>
      <cdr:spPr>
        <a:xfrm flipH="1">
          <a:off x="1771650" y="4019550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0.6585</cdr:y>
    </cdr:from>
    <cdr:to>
      <cdr:x>0.214</cdr:x>
      <cdr:y>0.70025</cdr:y>
    </cdr:to>
    <cdr:sp>
      <cdr:nvSpPr>
        <cdr:cNvPr id="49" name="Line 67"/>
        <cdr:cNvSpPr>
          <a:spLocks/>
        </cdr:cNvSpPr>
      </cdr:nvSpPr>
      <cdr:spPr>
        <a:xfrm flipH="1" flipV="1">
          <a:off x="1990725" y="3762375"/>
          <a:ext cx="0" cy="238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0.2135</cdr:x>
      <cdr:y>0.702</cdr:y>
    </cdr:from>
    <cdr:to>
      <cdr:x>0.215</cdr:x>
      <cdr:y>0.7475</cdr:y>
    </cdr:to>
    <cdr:sp>
      <cdr:nvSpPr>
        <cdr:cNvPr id="50" name="Line 68"/>
        <cdr:cNvSpPr>
          <a:spLocks/>
        </cdr:cNvSpPr>
      </cdr:nvSpPr>
      <cdr:spPr>
        <a:xfrm flipH="1">
          <a:off x="1981200" y="401002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0.508</cdr:y>
    </cdr:from>
    <cdr:to>
      <cdr:x>0.249</cdr:x>
      <cdr:y>0.84175</cdr:y>
    </cdr:to>
    <cdr:sp>
      <cdr:nvSpPr>
        <cdr:cNvPr id="51" name="Line 69"/>
        <cdr:cNvSpPr>
          <a:spLocks/>
        </cdr:cNvSpPr>
      </cdr:nvSpPr>
      <cdr:spPr>
        <a:xfrm flipV="1">
          <a:off x="2314575" y="2895600"/>
          <a:ext cx="0" cy="190500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0.58825</cdr:y>
    </cdr:from>
    <cdr:to>
      <cdr:x>0.34125</cdr:x>
      <cdr:y>0.8155</cdr:y>
    </cdr:to>
    <cdr:sp>
      <cdr:nvSpPr>
        <cdr:cNvPr id="52" name="Text Box 72"/>
        <cdr:cNvSpPr txBox="1">
          <a:spLocks noChangeArrowheads="1"/>
        </cdr:cNvSpPr>
      </cdr:nvSpPr>
      <cdr:spPr>
        <a:xfrm>
          <a:off x="2514600" y="3352800"/>
          <a:ext cx="657225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loss of CO</a:t>
          </a:r>
          <a:r>
            <a:rPr lang="en-US" cap="none" sz="1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0.05075</cdr:y>
    </cdr:from>
    <cdr:to>
      <cdr:x>0.0645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85750"/>
          <a:ext cx="3619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0.45225</cdr:x>
      <cdr:y>0.472</cdr:y>
    </cdr:from>
    <cdr:to>
      <cdr:x>0.519</cdr:x>
      <cdr:y>0.5075</cdr:y>
    </cdr:to>
    <cdr:sp>
      <cdr:nvSpPr>
        <cdr:cNvPr id="1" name="Line 1"/>
        <cdr:cNvSpPr>
          <a:spLocks/>
        </cdr:cNvSpPr>
      </cdr:nvSpPr>
      <cdr:spPr>
        <a:xfrm flipH="1">
          <a:off x="4200525" y="2695575"/>
          <a:ext cx="619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0.3185</cdr:x>
      <cdr:y>0.46025</cdr:y>
    </cdr:from>
    <cdr:to>
      <cdr:x>0.4485</cdr:x>
      <cdr:y>0.6845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962275" y="2628900"/>
          <a:ext cx="120967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Ernesto minimum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(spring)</a:t>
          </a:r>
        </a:p>
      </cdr:txBody>
    </cdr:sp>
  </cdr:relSizeAnchor>
  <cdr:relSizeAnchor xmlns:cdr="http://schemas.openxmlformats.org/drawingml/2006/chartDrawing">
    <cdr:from>
      <cdr:x>0.74325</cdr:x>
      <cdr:y>0.45875</cdr:y>
    </cdr:from>
    <cdr:to>
      <cdr:x>0.843</cdr:x>
      <cdr:y>0.68525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6915150" y="2619375"/>
          <a:ext cx="923925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Ernesto maximum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(autumn)</a:t>
          </a:r>
        </a:p>
      </cdr:txBody>
    </cdr:sp>
  </cdr:relSizeAnchor>
  <cdr:relSizeAnchor xmlns:cdr="http://schemas.openxmlformats.org/drawingml/2006/chartDrawing">
    <cdr:from>
      <cdr:x>0.76775</cdr:x>
      <cdr:y>0.61425</cdr:y>
    </cdr:from>
    <cdr:to>
      <cdr:x>0.7985</cdr:x>
      <cdr:y>0.798</cdr:y>
    </cdr:to>
    <cdr:sp>
      <cdr:nvSpPr>
        <cdr:cNvPr id="4" name="Line 4"/>
        <cdr:cNvSpPr>
          <a:spLocks/>
        </cdr:cNvSpPr>
      </cdr:nvSpPr>
      <cdr:spPr>
        <a:xfrm flipH="1">
          <a:off x="7143750" y="3505200"/>
          <a:ext cx="2857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0.03475</cdr:x>
      <cdr:y>0.20825</cdr:y>
    </cdr:from>
    <cdr:to>
      <cdr:x>0.24725</cdr:x>
      <cdr:y>0.43475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" y="1181100"/>
          <a:ext cx="198120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Cerling model: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soil respiration,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mmol cm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hr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0.24 porosity</a:t>
          </a:r>
        </a:p>
      </cdr:txBody>
    </cdr:sp>
  </cdr:relSizeAnchor>
  <cdr:relSizeAnchor xmlns:cdr="http://schemas.openxmlformats.org/drawingml/2006/chartDrawing">
    <cdr:from>
      <cdr:x>0.28525</cdr:x>
      <cdr:y>0.14875</cdr:y>
    </cdr:from>
    <cdr:to>
      <cdr:x>0.4705</cdr:x>
      <cdr:y>0.26475</cdr:y>
    </cdr:to>
    <cdr:sp>
      <cdr:nvSpPr>
        <cdr:cNvPr id="6" name="Text Box 6"/>
        <cdr:cNvSpPr txBox="1">
          <a:spLocks noChangeArrowheads="1"/>
        </cdr:cNvSpPr>
      </cdr:nvSpPr>
      <cdr:spPr>
        <a:xfrm>
          <a:off x="2647950" y="847725"/>
          <a:ext cx="17240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(0.1 porosity)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0.03875</cdr:x>
      <cdr:y>0.11675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0"/>
          <a:ext cx="3619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c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0.0365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29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bo\My%20Documents\caves\anna\IJFcf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cros\Deleter%20mac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Roz1990"/>
      <sheetName val="Chart1"/>
      <sheetName val="Chart1 (2)"/>
      <sheetName val="Bar-Matthews 1996   overall"/>
      <sheetName val="Bar-Matthews 1996 Co2 degassing"/>
      <sheetName val="Crag cf Bar-Matthews"/>
      <sheetName val="Dulinski input to Bar-Matthew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7"/>
  <sheetViews>
    <sheetView zoomScale="75" zoomScaleNormal="75" zoomScalePageLayoutView="0" workbookViewId="0" topLeftCell="V1">
      <pane ySplit="1635" topLeftCell="A17" activePane="bottomLeft" state="split"/>
      <selection pane="topLeft" activeCell="J1" sqref="J1:J16384"/>
      <selection pane="bottomLeft" activeCell="AM37" sqref="AM37:AM53"/>
    </sheetView>
  </sheetViews>
  <sheetFormatPr defaultColWidth="9.140625" defaultRowHeight="15"/>
  <cols>
    <col min="1" max="1" width="17.7109375" style="0" customWidth="1"/>
    <col min="2" max="2" width="13.57421875" style="0" bestFit="1" customWidth="1"/>
    <col min="3" max="4" width="13.8515625" style="0" customWidth="1"/>
    <col min="5" max="6" width="16.57421875" style="0" customWidth="1"/>
    <col min="7" max="7" width="10.00390625" style="0" bestFit="1" customWidth="1"/>
    <col min="8" max="9" width="9.421875" style="0" bestFit="1" customWidth="1"/>
    <col min="10" max="10" width="10.00390625" style="0" customWidth="1"/>
    <col min="11" max="11" width="9.421875" style="0" bestFit="1" customWidth="1"/>
    <col min="12" max="12" width="10.7109375" style="0" customWidth="1"/>
    <col min="13" max="13" width="11.7109375" style="0" customWidth="1"/>
    <col min="14" max="14" width="12.00390625" style="0" customWidth="1"/>
    <col min="15" max="15" width="13.421875" style="0" bestFit="1" customWidth="1"/>
    <col min="16" max="16" width="12.00390625" style="0" customWidth="1"/>
    <col min="17" max="17" width="14.28125" style="0" customWidth="1"/>
    <col min="18" max="18" width="12.00390625" style="0" customWidth="1"/>
    <col min="19" max="19" width="16.57421875" style="0" customWidth="1"/>
    <col min="20" max="20" width="13.140625" style="0" customWidth="1"/>
    <col min="23" max="23" width="13.57421875" style="0" bestFit="1" customWidth="1"/>
    <col min="24" max="29" width="13.57421875" style="0" customWidth="1"/>
    <col min="35" max="35" width="15.7109375" style="0" bestFit="1" customWidth="1"/>
  </cols>
  <sheetData>
    <row r="1" spans="1:43" ht="75">
      <c r="A1" s="31" t="s">
        <v>54</v>
      </c>
      <c r="B1" s="32">
        <v>10</v>
      </c>
      <c r="C1" s="33" t="s">
        <v>12</v>
      </c>
      <c r="D1" s="33"/>
      <c r="E1" s="15">
        <f>0.011237</f>
        <v>0.011237</v>
      </c>
      <c r="F1" s="15"/>
      <c r="G1" s="33" t="s">
        <v>55</v>
      </c>
      <c r="H1" s="34">
        <v>1</v>
      </c>
      <c r="I1" s="33" t="s">
        <v>23</v>
      </c>
      <c r="J1" s="33"/>
      <c r="K1" s="32">
        <v>283</v>
      </c>
      <c r="L1" s="35" t="s">
        <v>3</v>
      </c>
      <c r="M1" s="32">
        <v>-27</v>
      </c>
      <c r="N1" s="36" t="s">
        <v>41</v>
      </c>
      <c r="O1" s="15">
        <f>1/22400</f>
        <v>4.464285714285714E-05</v>
      </c>
      <c r="P1" s="37" t="s">
        <v>56</v>
      </c>
      <c r="Q1" s="32">
        <v>380</v>
      </c>
      <c r="R1" s="35" t="s">
        <v>58</v>
      </c>
      <c r="S1" s="32">
        <v>-8</v>
      </c>
      <c r="T1" s="37" t="s">
        <v>61</v>
      </c>
      <c r="U1" s="32">
        <v>150</v>
      </c>
      <c r="V1" s="104" t="s">
        <v>81</v>
      </c>
      <c r="W1" s="108">
        <f>Q1/R3</f>
        <v>23220512820.51282</v>
      </c>
      <c r="AE1" s="103" t="s">
        <v>75</v>
      </c>
      <c r="AF1" s="11" t="s">
        <v>66</v>
      </c>
      <c r="AG1" s="11"/>
      <c r="AH1" s="11"/>
      <c r="AI1" s="11"/>
      <c r="AJ1" t="s">
        <v>65</v>
      </c>
      <c r="AN1" s="55" t="s">
        <v>73</v>
      </c>
      <c r="AO1" s="55"/>
      <c r="AP1" s="55"/>
      <c r="AQ1" s="55"/>
    </row>
    <row r="2" spans="1:44" s="27" customFormat="1" ht="90">
      <c r="A2" s="38" t="s">
        <v>1</v>
      </c>
      <c r="B2" s="39" t="s">
        <v>60</v>
      </c>
      <c r="C2" s="39" t="s">
        <v>2</v>
      </c>
      <c r="D2" s="39"/>
      <c r="E2" s="39" t="s">
        <v>17</v>
      </c>
      <c r="F2" s="39"/>
      <c r="G2" s="39" t="s">
        <v>18</v>
      </c>
      <c r="H2" s="39" t="s">
        <v>20</v>
      </c>
      <c r="I2" s="39" t="s">
        <v>27</v>
      </c>
      <c r="J2" s="39"/>
      <c r="K2" s="39" t="s">
        <v>24</v>
      </c>
      <c r="L2" s="39" t="s">
        <v>25</v>
      </c>
      <c r="M2" s="39" t="s">
        <v>16</v>
      </c>
      <c r="N2" s="18" t="s">
        <v>31</v>
      </c>
      <c r="O2" s="39" t="s">
        <v>15</v>
      </c>
      <c r="P2" s="40"/>
      <c r="Q2" s="39" t="s">
        <v>40</v>
      </c>
      <c r="R2" s="40"/>
      <c r="S2" s="40"/>
      <c r="T2" s="30" t="s">
        <v>57</v>
      </c>
      <c r="U2" s="116" t="s">
        <v>84</v>
      </c>
      <c r="V2" s="117" t="s">
        <v>62</v>
      </c>
      <c r="W2" s="104" t="s">
        <v>60</v>
      </c>
      <c r="X2" s="39" t="s">
        <v>79</v>
      </c>
      <c r="Y2" s="33" t="s">
        <v>62</v>
      </c>
      <c r="Z2" s="39"/>
      <c r="AA2" s="39"/>
      <c r="AB2" s="39"/>
      <c r="AC2" s="39"/>
      <c r="AE2" s="27" t="s">
        <v>76</v>
      </c>
      <c r="AF2" s="50" t="s">
        <v>63</v>
      </c>
      <c r="AG2" s="51" t="s">
        <v>64</v>
      </c>
      <c r="AH2" s="52" t="s">
        <v>62</v>
      </c>
      <c r="AI2" s="122" t="s">
        <v>94</v>
      </c>
      <c r="AJ2" s="30" t="s">
        <v>63</v>
      </c>
      <c r="AK2" s="47" t="s">
        <v>64</v>
      </c>
      <c r="AL2" s="41" t="s">
        <v>62</v>
      </c>
      <c r="AM2" s="122" t="s">
        <v>94</v>
      </c>
      <c r="AN2" s="56" t="s">
        <v>63</v>
      </c>
      <c r="AO2" s="57" t="s">
        <v>64</v>
      </c>
      <c r="AP2" s="58" t="s">
        <v>62</v>
      </c>
      <c r="AQ2" s="41" t="s">
        <v>62</v>
      </c>
      <c r="AR2" s="39" t="s">
        <v>60</v>
      </c>
    </row>
    <row r="3" spans="1:44" ht="15.75">
      <c r="A3" s="42">
        <f>B$1/1000/10000/3600</f>
        <v>2.7777777777777777E-10</v>
      </c>
      <c r="B3" s="43">
        <v>10</v>
      </c>
      <c r="C3" s="44">
        <f aca="true" t="shared" si="0" ref="C3:C17">A3/U$1</f>
        <v>1.8518518518518517E-12</v>
      </c>
      <c r="D3" s="44"/>
      <c r="E3" s="18">
        <v>0.144</v>
      </c>
      <c r="F3" s="18"/>
      <c r="G3" s="18">
        <v>1</v>
      </c>
      <c r="H3" s="18">
        <v>273</v>
      </c>
      <c r="I3" s="18">
        <f aca="true" t="shared" si="1" ref="I3:I17">E3*(G3/H$1*K$1/H3)^1.823</f>
        <v>0.15376045607366454</v>
      </c>
      <c r="J3" s="18"/>
      <c r="K3" s="18">
        <v>0.24</v>
      </c>
      <c r="L3" s="18">
        <v>0.6</v>
      </c>
      <c r="M3" s="45">
        <f>I3*K3*L3</f>
        <v>0.02214150567460769</v>
      </c>
      <c r="N3" s="18">
        <f>I3/1.00444</f>
        <v>0.15308077742191126</v>
      </c>
      <c r="O3" s="46">
        <f>N3*K3*L3</f>
        <v>0.022043631948755218</v>
      </c>
      <c r="P3" s="18">
        <f aca="true" t="shared" si="2" ref="P3:P17">((M$1/1000+1)*E$1)/(1+E$1*(M$1/1000+1))</f>
        <v>0.010815350275413388</v>
      </c>
      <c r="Q3" s="18">
        <f aca="true" t="shared" si="3" ref="Q3:Q17">O$1*H3/K$1*H$1/G3</f>
        <v>4.3065371024734985E-05</v>
      </c>
      <c r="R3" s="18">
        <f>Q$1/10^6*Q3</f>
        <v>1.6364840989399294E-08</v>
      </c>
      <c r="S3" s="18">
        <f aca="true" t="shared" si="4" ref="S3:S17">((S$1/1000+1)*E$1)/(1+E$1*(S$1/1000+1))</f>
        <v>0.011024215918636504</v>
      </c>
      <c r="T3" s="29">
        <f aca="true" t="shared" si="5" ref="T3:T17">1000*(1/$E$1*((C3/M3*(U$1*B3-B3^2/2)*M3/O3*P3+R3*S3)/(C3/M3*(U$1*B3-B3^2/2)*(1-M3/O3*P3)+R3*(1-S3)))-1)</f>
        <v>-20.892928635093067</v>
      </c>
      <c r="U3" s="118">
        <f>Q$1*(S$1-1.0044*M$1-4.4)/(T3-4.4-1.0044*M$1)</f>
        <v>3063.273846942168</v>
      </c>
      <c r="V3" s="119">
        <f>LOG(U3/1000000)</f>
        <v>-2.5138141769120956</v>
      </c>
      <c r="W3" s="105">
        <v>10</v>
      </c>
      <c r="X3" s="109">
        <f aca="true" t="shared" si="6" ref="X3:X17">Q$1+(C3/M3*(U$1*B3-B3^2/2))*W$1</f>
        <v>3196.0405138820097</v>
      </c>
      <c r="Y3" s="28">
        <f>LOG(X3/1000000)</f>
        <v>-2.4953877240877467</v>
      </c>
      <c r="Z3" s="43"/>
      <c r="AA3" s="43"/>
      <c r="AB3" s="43"/>
      <c r="AC3" s="43"/>
      <c r="AF3" s="53">
        <v>-14.228706484498144</v>
      </c>
      <c r="AG3" s="109">
        <v>661.604051388201</v>
      </c>
      <c r="AH3" s="28">
        <v>-3.1794018440084835</v>
      </c>
      <c r="AI3" s="45">
        <f>1/(10^AH3*1000000)</f>
        <v>0.0015114780477866864</v>
      </c>
      <c r="AJ3" s="29">
        <v>-19.523065662365614</v>
      </c>
      <c r="AK3" s="109">
        <v>1788.0202569410048</v>
      </c>
      <c r="AL3" s="28">
        <v>-2.747627565278432</v>
      </c>
      <c r="AM3" s="45">
        <f>1/(10^AL3*1000000)</f>
        <v>0.0005592777800576088</v>
      </c>
      <c r="AN3" s="59">
        <v>-20.892928635093067</v>
      </c>
      <c r="AO3" s="60">
        <v>3196.0405138820097</v>
      </c>
      <c r="AP3" s="49">
        <v>-2.4953877240877467</v>
      </c>
      <c r="AQ3" s="28">
        <v>-2.747627565278432</v>
      </c>
      <c r="AR3" s="43">
        <v>10</v>
      </c>
    </row>
    <row r="4" spans="1:44" ht="15.75">
      <c r="A4" s="42">
        <f>B$1/1000/10000/3600</f>
        <v>2.7777777777777777E-10</v>
      </c>
      <c r="B4" s="43">
        <v>20</v>
      </c>
      <c r="C4" s="44">
        <f t="shared" si="0"/>
        <v>1.8518518518518517E-12</v>
      </c>
      <c r="D4" s="44"/>
      <c r="E4" s="18">
        <v>0.144</v>
      </c>
      <c r="F4" s="18"/>
      <c r="G4" s="18">
        <v>1</v>
      </c>
      <c r="H4" s="18">
        <v>273</v>
      </c>
      <c r="I4" s="18">
        <f t="shared" si="1"/>
        <v>0.15376045607366454</v>
      </c>
      <c r="J4" s="18"/>
      <c r="K4" s="18">
        <v>0.24</v>
      </c>
      <c r="L4" s="18">
        <v>0.6</v>
      </c>
      <c r="M4" s="45">
        <f aca="true" t="shared" si="7" ref="M4:M17">I4*K4*L4</f>
        <v>0.02214150567460769</v>
      </c>
      <c r="N4" s="18">
        <f>I4/1.00444</f>
        <v>0.15308077742191126</v>
      </c>
      <c r="O4" s="46">
        <f>N4*K4*L4</f>
        <v>0.022043631948755218</v>
      </c>
      <c r="P4" s="18">
        <f t="shared" si="2"/>
        <v>0.010815350275413388</v>
      </c>
      <c r="Q4" s="18">
        <f t="shared" si="3"/>
        <v>4.3065371024734985E-05</v>
      </c>
      <c r="R4" s="18">
        <f aca="true" t="shared" si="8" ref="R4:R17">Q$1/10^6*Q4</f>
        <v>1.6364840989399294E-08</v>
      </c>
      <c r="S4" s="18">
        <f t="shared" si="4"/>
        <v>0.011024215918636504</v>
      </c>
      <c r="T4" s="29">
        <f t="shared" si="5"/>
        <v>-21.676846956284244</v>
      </c>
      <c r="U4" s="118">
        <f aca="true" t="shared" si="9" ref="U4:U17">Q$1*(S$1-1.0044*M$1-4.4)/(T4-4.4-1.0044*M$1)</f>
        <v>5367.942474695431</v>
      </c>
      <c r="V4" s="119">
        <f aca="true" t="shared" si="10" ref="V4:V17">LOG(U4/1000000)</f>
        <v>-2.270192146910638</v>
      </c>
      <c r="W4" s="105">
        <v>20</v>
      </c>
      <c r="X4" s="109">
        <f t="shared" si="6"/>
        <v>5817.871337151467</v>
      </c>
      <c r="Y4" s="28">
        <f aca="true" t="shared" si="11" ref="Y4:Y17">LOG(X4/1000000)</f>
        <v>-2.2352358874518004</v>
      </c>
      <c r="Z4" s="43"/>
      <c r="AA4" s="43"/>
      <c r="AB4" s="43"/>
      <c r="AC4" s="43"/>
      <c r="AF4" s="53">
        <v>-16.61395560099599</v>
      </c>
      <c r="AG4" s="109">
        <v>923.7871337151469</v>
      </c>
      <c r="AH4" s="28">
        <v>-3.034428090796364</v>
      </c>
      <c r="AI4" s="45">
        <f aca="true" t="shared" si="12" ref="AI4:AI53">1/(10^AH4*1000000)</f>
        <v>0.0010825004630432044</v>
      </c>
      <c r="AJ4" s="29">
        <v>-20.83842033359884</v>
      </c>
      <c r="AK4" s="109">
        <v>3098.9356685757334</v>
      </c>
      <c r="AL4" s="28">
        <v>-2.5087874392729996</v>
      </c>
      <c r="AM4" s="45">
        <f aca="true" t="shared" si="13" ref="AM4:AM36">1/(10^AL4*1000000)</f>
        <v>0.0003226914356888215</v>
      </c>
      <c r="AN4" s="59">
        <v>-21.676846956284244</v>
      </c>
      <c r="AO4" s="60">
        <v>5817.871337151467</v>
      </c>
      <c r="AP4" s="49">
        <v>-2.2352358874518004</v>
      </c>
      <c r="AQ4" s="28">
        <v>-2.747627565278432</v>
      </c>
      <c r="AR4" s="43">
        <v>20</v>
      </c>
    </row>
    <row r="5" spans="1:44" ht="15.75">
      <c r="A5" s="42">
        <f>B$1/1000/10000/3600</f>
        <v>2.7777777777777777E-10</v>
      </c>
      <c r="B5" s="43">
        <v>30</v>
      </c>
      <c r="C5" s="44">
        <f t="shared" si="0"/>
        <v>1.8518518518518517E-12</v>
      </c>
      <c r="D5" s="44"/>
      <c r="E5" s="18">
        <v>0.144</v>
      </c>
      <c r="F5" s="18"/>
      <c r="G5" s="18">
        <v>1</v>
      </c>
      <c r="H5" s="18">
        <v>273</v>
      </c>
      <c r="I5" s="18">
        <f t="shared" si="1"/>
        <v>0.15376045607366454</v>
      </c>
      <c r="J5" s="18"/>
      <c r="K5" s="18">
        <v>0.24</v>
      </c>
      <c r="L5" s="18">
        <v>0.6</v>
      </c>
      <c r="M5" s="45">
        <f t="shared" si="7"/>
        <v>0.02214150567460769</v>
      </c>
      <c r="N5" s="18">
        <f>I5/1.00444</f>
        <v>0.15308077742191126</v>
      </c>
      <c r="O5" s="46">
        <f>N5*K5*L5</f>
        <v>0.022043631948755218</v>
      </c>
      <c r="P5" s="18">
        <f t="shared" si="2"/>
        <v>0.010815350275413388</v>
      </c>
      <c r="Q5" s="18">
        <f t="shared" si="3"/>
        <v>4.3065371024734985E-05</v>
      </c>
      <c r="R5" s="18">
        <f t="shared" si="8"/>
        <v>1.6364840989399294E-08</v>
      </c>
      <c r="S5" s="18">
        <f t="shared" si="4"/>
        <v>0.011024215918636504</v>
      </c>
      <c r="T5" s="29">
        <f t="shared" si="5"/>
        <v>-21.958190914672326</v>
      </c>
      <c r="U5" s="118">
        <f t="shared" si="9"/>
        <v>7353.506693376477</v>
      </c>
      <c r="V5" s="119">
        <f t="shared" si="10"/>
        <v>-2.1335055079360754</v>
      </c>
      <c r="W5" s="105">
        <v>30</v>
      </c>
      <c r="X5" s="109">
        <f t="shared" si="6"/>
        <v>8245.49246980837</v>
      </c>
      <c r="Y5" s="28">
        <f t="shared" si="11"/>
        <v>-2.0837834005976124</v>
      </c>
      <c r="Z5" s="43"/>
      <c r="AA5" s="43"/>
      <c r="AB5" s="43"/>
      <c r="AC5" s="43"/>
      <c r="AF5" s="53">
        <v>-17.866483786912802</v>
      </c>
      <c r="AG5" s="109">
        <v>1166.5492469808373</v>
      </c>
      <c r="AH5" s="28">
        <v>-2.9330969223305194</v>
      </c>
      <c r="AI5" s="45">
        <f t="shared" si="12"/>
        <v>0.0008572291333504479</v>
      </c>
      <c r="AJ5" s="29">
        <v>-21.343347641751276</v>
      </c>
      <c r="AK5" s="109">
        <v>4312.746234904185</v>
      </c>
      <c r="AL5" s="28">
        <v>-2.3652460953024903</v>
      </c>
      <c r="AM5" s="45">
        <f t="shared" si="13"/>
        <v>0.00023187081862288548</v>
      </c>
      <c r="AN5" s="59">
        <v>-21.958190914672326</v>
      </c>
      <c r="AO5" s="60">
        <v>8245.49246980837</v>
      </c>
      <c r="AP5" s="49">
        <v>-2.0837834005976124</v>
      </c>
      <c r="AQ5" s="28">
        <v>-2.747627565278432</v>
      </c>
      <c r="AR5" s="43">
        <v>30</v>
      </c>
    </row>
    <row r="6" spans="1:44" ht="15.75">
      <c r="A6" s="42">
        <f>B$1/1000/10000/3600</f>
        <v>2.7777777777777777E-10</v>
      </c>
      <c r="B6" s="43">
        <v>40</v>
      </c>
      <c r="C6" s="44">
        <f t="shared" si="0"/>
        <v>1.8518518518518517E-12</v>
      </c>
      <c r="D6" s="44"/>
      <c r="E6" s="18">
        <v>0.144</v>
      </c>
      <c r="F6" s="18"/>
      <c r="G6" s="18">
        <v>1</v>
      </c>
      <c r="H6" s="18">
        <v>273</v>
      </c>
      <c r="I6" s="18">
        <f t="shared" si="1"/>
        <v>0.15376045607366454</v>
      </c>
      <c r="J6" s="18"/>
      <c r="K6" s="18">
        <v>0.24</v>
      </c>
      <c r="L6" s="18">
        <v>0.6</v>
      </c>
      <c r="M6" s="45">
        <f t="shared" si="7"/>
        <v>0.02214150567460769</v>
      </c>
      <c r="N6" s="18">
        <f>I6/1.00444</f>
        <v>0.15308077742191126</v>
      </c>
      <c r="O6" s="46">
        <f>N6*K6*L6</f>
        <v>0.022043631948755218</v>
      </c>
      <c r="P6" s="18">
        <f t="shared" si="2"/>
        <v>0.010815350275413388</v>
      </c>
      <c r="Q6" s="18">
        <f t="shared" si="3"/>
        <v>4.3065371024734985E-05</v>
      </c>
      <c r="R6" s="18">
        <f t="shared" si="8"/>
        <v>1.6364840989399294E-08</v>
      </c>
      <c r="S6" s="18">
        <f t="shared" si="4"/>
        <v>0.011024215918636504</v>
      </c>
      <c r="T6" s="29">
        <f t="shared" si="5"/>
        <v>-22.101895830155094</v>
      </c>
      <c r="U6" s="118">
        <f t="shared" si="9"/>
        <v>9066.471379835444</v>
      </c>
      <c r="V6" s="119">
        <f t="shared" si="10"/>
        <v>-2.0425617050501605</v>
      </c>
      <c r="W6" s="105">
        <v>40</v>
      </c>
      <c r="X6" s="109">
        <f t="shared" si="6"/>
        <v>10478.903911852725</v>
      </c>
      <c r="Y6" s="28">
        <f t="shared" si="11"/>
        <v>-1.9796841419638536</v>
      </c>
      <c r="Z6" s="43"/>
      <c r="AA6" s="43"/>
      <c r="AB6" s="43"/>
      <c r="AC6" s="43"/>
      <c r="AF6" s="53">
        <v>-18.632357121817545</v>
      </c>
      <c r="AG6" s="109">
        <v>1389.8903911852726</v>
      </c>
      <c r="AH6" s="28">
        <v>-2.8570194475015573</v>
      </c>
      <c r="AI6" s="45">
        <f t="shared" si="12"/>
        <v>0.0007194811953100986</v>
      </c>
      <c r="AJ6" s="29">
        <v>-21.608484152048746</v>
      </c>
      <c r="AK6" s="109">
        <v>5429.451955926363</v>
      </c>
      <c r="AL6" s="28">
        <v>-2.265244005499367</v>
      </c>
      <c r="AM6" s="45">
        <f t="shared" si="13"/>
        <v>0.0001841806517706597</v>
      </c>
      <c r="AN6" s="59">
        <v>-22.101895830155094</v>
      </c>
      <c r="AO6" s="60">
        <v>10478.903911852725</v>
      </c>
      <c r="AP6" s="49">
        <v>-1.9796841419638536</v>
      </c>
      <c r="AQ6" s="28">
        <v>-2.747627565278432</v>
      </c>
      <c r="AR6" s="43">
        <v>40</v>
      </c>
    </row>
    <row r="7" spans="1:44" ht="15.75">
      <c r="A7" s="42">
        <f>B$1/1000/10000/3600</f>
        <v>2.7777777777777777E-10</v>
      </c>
      <c r="B7" s="43">
        <v>50</v>
      </c>
      <c r="C7" s="44">
        <f t="shared" si="0"/>
        <v>1.8518518518518517E-12</v>
      </c>
      <c r="D7" s="44"/>
      <c r="E7" s="18">
        <v>0.144</v>
      </c>
      <c r="F7" s="18"/>
      <c r="G7" s="18">
        <v>1</v>
      </c>
      <c r="H7" s="18">
        <v>273</v>
      </c>
      <c r="I7" s="18">
        <f t="shared" si="1"/>
        <v>0.15376045607366454</v>
      </c>
      <c r="J7" s="18"/>
      <c r="K7" s="18">
        <v>0.24</v>
      </c>
      <c r="L7" s="18">
        <v>0.6</v>
      </c>
      <c r="M7" s="45">
        <f t="shared" si="7"/>
        <v>0.02214150567460769</v>
      </c>
      <c r="N7" s="18">
        <f>I7/1.00444</f>
        <v>0.15308077742191126</v>
      </c>
      <c r="O7" s="46">
        <f>N7*K7*L7</f>
        <v>0.022043631948755218</v>
      </c>
      <c r="P7" s="18">
        <f t="shared" si="2"/>
        <v>0.010815350275413388</v>
      </c>
      <c r="Q7" s="18">
        <f t="shared" si="3"/>
        <v>4.3065371024734985E-05</v>
      </c>
      <c r="R7" s="18">
        <f t="shared" si="8"/>
        <v>1.6364840989399294E-08</v>
      </c>
      <c r="S7" s="18">
        <f t="shared" si="4"/>
        <v>0.011024215918636504</v>
      </c>
      <c r="T7" s="29">
        <f t="shared" si="5"/>
        <v>-22.188320943505534</v>
      </c>
      <c r="U7" s="118">
        <f t="shared" si="9"/>
        <v>10543.571761269655</v>
      </c>
      <c r="V7" s="119">
        <f t="shared" si="10"/>
        <v>-1.9770122417385327</v>
      </c>
      <c r="W7" s="105">
        <v>50</v>
      </c>
      <c r="X7" s="109">
        <f t="shared" si="6"/>
        <v>12518.105663284525</v>
      </c>
      <c r="Y7" s="28">
        <f t="shared" si="11"/>
        <v>-1.9024613869584905</v>
      </c>
      <c r="Z7" s="43"/>
      <c r="AA7" s="43"/>
      <c r="AB7" s="43"/>
      <c r="AC7" s="43"/>
      <c r="AF7" s="53">
        <v>-19.144166944382924</v>
      </c>
      <c r="AG7" s="109">
        <v>1593.8105663284528</v>
      </c>
      <c r="AH7" s="28">
        <v>-2.797563298302002</v>
      </c>
      <c r="AI7" s="45">
        <f t="shared" si="12"/>
        <v>0.00062742713665378</v>
      </c>
      <c r="AJ7" s="29">
        <v>-21.77037298907536</v>
      </c>
      <c r="AK7" s="109">
        <v>6449.052831642262</v>
      </c>
      <c r="AL7" s="28">
        <v>-2.190504065240248</v>
      </c>
      <c r="AM7" s="45">
        <f t="shared" si="13"/>
        <v>0.00015506153013563516</v>
      </c>
      <c r="AN7" s="59">
        <v>-22.188320943505534</v>
      </c>
      <c r="AO7" s="60">
        <v>12518.105663284525</v>
      </c>
      <c r="AP7" s="49">
        <v>-1.9024613869584905</v>
      </c>
      <c r="AQ7" s="28">
        <v>-2.747627565278432</v>
      </c>
      <c r="AR7" s="43">
        <v>50</v>
      </c>
    </row>
    <row r="8" spans="1:44" ht="15.75">
      <c r="A8" s="42">
        <f aca="true" t="shared" si="14" ref="A8:A13">B$1/1000/10000/3600</f>
        <v>2.7777777777777777E-10</v>
      </c>
      <c r="B8" s="43">
        <v>60</v>
      </c>
      <c r="C8" s="44">
        <f t="shared" si="0"/>
        <v>1.8518518518518517E-12</v>
      </c>
      <c r="D8" s="44"/>
      <c r="E8" s="18">
        <v>0.144</v>
      </c>
      <c r="F8" s="18"/>
      <c r="G8" s="18">
        <v>1</v>
      </c>
      <c r="H8" s="18">
        <v>273</v>
      </c>
      <c r="I8" s="18">
        <f t="shared" si="1"/>
        <v>0.15376045607366454</v>
      </c>
      <c r="J8" s="18"/>
      <c r="K8" s="18">
        <v>0.24</v>
      </c>
      <c r="L8" s="18">
        <v>0.6</v>
      </c>
      <c r="M8" s="45">
        <f aca="true" t="shared" si="15" ref="M8:M13">I8*K8*L8</f>
        <v>0.02214150567460769</v>
      </c>
      <c r="N8" s="18">
        <f aca="true" t="shared" si="16" ref="N8:N13">I8/1.00444</f>
        <v>0.15308077742191126</v>
      </c>
      <c r="O8" s="46">
        <f aca="true" t="shared" si="17" ref="O8:O13">N8*K8*L8</f>
        <v>0.022043631948755218</v>
      </c>
      <c r="P8" s="18">
        <f t="shared" si="2"/>
        <v>0.010815350275413388</v>
      </c>
      <c r="Q8" s="18">
        <f t="shared" si="3"/>
        <v>4.3065371024734985E-05</v>
      </c>
      <c r="R8" s="18">
        <f t="shared" si="8"/>
        <v>1.6364840989399294E-08</v>
      </c>
      <c r="S8" s="18">
        <f t="shared" si="4"/>
        <v>0.011024215918636504</v>
      </c>
      <c r="T8" s="29">
        <f t="shared" si="5"/>
        <v>-22.245369060507556</v>
      </c>
      <c r="U8" s="118">
        <f aca="true" t="shared" si="18" ref="U8:U13">Q$1*(S$1-1.0044*M$1-4.4)/(T8-4.4-1.0044*M$1)</f>
        <v>11814.065227752722</v>
      </c>
      <c r="V8" s="119">
        <f t="shared" si="10"/>
        <v>-1.9276006356472857</v>
      </c>
      <c r="W8" s="105">
        <v>60</v>
      </c>
      <c r="X8" s="109">
        <f t="shared" si="6"/>
        <v>14363.097724103773</v>
      </c>
      <c r="Y8" s="28">
        <f t="shared" si="11"/>
        <v>-1.842751884648064</v>
      </c>
      <c r="Z8" s="43"/>
      <c r="AA8" s="43"/>
      <c r="AB8" s="43"/>
      <c r="AC8" s="43"/>
      <c r="AF8" s="53">
        <v>-19.50608632725581</v>
      </c>
      <c r="AG8" s="109">
        <v>1778.3097724103773</v>
      </c>
      <c r="AH8" s="28">
        <v>-2.7499925849122833</v>
      </c>
      <c r="AI8" s="45">
        <f t="shared" si="12"/>
        <v>0.000562331723929386</v>
      </c>
      <c r="AJ8" s="29">
        <v>-21.878254532995523</v>
      </c>
      <c r="AK8" s="109">
        <v>7371.548862051886</v>
      </c>
      <c r="AL8" s="28">
        <v>-2.13244125141236</v>
      </c>
      <c r="AM8" s="45">
        <f t="shared" si="13"/>
        <v>0.00013565670101542928</v>
      </c>
      <c r="AN8" s="59">
        <v>-22.245369060507556</v>
      </c>
      <c r="AO8" s="60">
        <v>14363.097724103773</v>
      </c>
      <c r="AP8" s="49">
        <v>-1.842751884648064</v>
      </c>
      <c r="AQ8" s="28">
        <v>-2.747627565278432</v>
      </c>
      <c r="AR8" s="43">
        <v>60</v>
      </c>
    </row>
    <row r="9" spans="1:44" ht="15.75">
      <c r="A9" s="42">
        <f t="shared" si="14"/>
        <v>2.7777777777777777E-10</v>
      </c>
      <c r="B9" s="43">
        <v>70</v>
      </c>
      <c r="C9" s="44">
        <f t="shared" si="0"/>
        <v>1.8518518518518517E-12</v>
      </c>
      <c r="D9" s="44"/>
      <c r="E9" s="18">
        <v>0.144</v>
      </c>
      <c r="F9" s="18"/>
      <c r="G9" s="18">
        <v>1</v>
      </c>
      <c r="H9" s="18">
        <v>273</v>
      </c>
      <c r="I9" s="18">
        <f t="shared" si="1"/>
        <v>0.15376045607366454</v>
      </c>
      <c r="J9" s="18"/>
      <c r="K9" s="18">
        <v>0.24</v>
      </c>
      <c r="L9" s="18">
        <v>0.6</v>
      </c>
      <c r="M9" s="45">
        <f t="shared" si="15"/>
        <v>0.02214150567460769</v>
      </c>
      <c r="N9" s="18">
        <f t="shared" si="16"/>
        <v>0.15308077742191126</v>
      </c>
      <c r="O9" s="46">
        <f t="shared" si="17"/>
        <v>0.022043631948755218</v>
      </c>
      <c r="P9" s="18">
        <f t="shared" si="2"/>
        <v>0.010815350275413388</v>
      </c>
      <c r="Q9" s="18">
        <f t="shared" si="3"/>
        <v>4.3065371024734985E-05</v>
      </c>
      <c r="R9" s="18">
        <f t="shared" si="8"/>
        <v>1.6364840989399294E-08</v>
      </c>
      <c r="S9" s="18">
        <f t="shared" si="4"/>
        <v>0.011024215918636504</v>
      </c>
      <c r="T9" s="29">
        <f t="shared" si="5"/>
        <v>-22.285269548503408</v>
      </c>
      <c r="U9" s="118">
        <f t="shared" si="18"/>
        <v>12901.386697732216</v>
      </c>
      <c r="V9" s="119">
        <f t="shared" si="10"/>
        <v>-1.889363607312645</v>
      </c>
      <c r="W9" s="105">
        <v>70</v>
      </c>
      <c r="X9" s="109">
        <f t="shared" si="6"/>
        <v>16013.880094310469</v>
      </c>
      <c r="Y9" s="28">
        <f t="shared" si="11"/>
        <v>-1.7955034276444017</v>
      </c>
      <c r="Z9" s="43"/>
      <c r="AA9" s="43"/>
      <c r="AB9" s="43"/>
      <c r="AC9" s="43"/>
      <c r="AF9" s="53">
        <v>-19.77165773586309</v>
      </c>
      <c r="AG9" s="109">
        <v>1943.3880094310473</v>
      </c>
      <c r="AH9" s="28">
        <v>-2.711440481164683</v>
      </c>
      <c r="AI9" s="45">
        <f t="shared" si="12"/>
        <v>0.0005145652824588351</v>
      </c>
      <c r="AJ9" s="29">
        <v>-21.954197185558467</v>
      </c>
      <c r="AK9" s="109">
        <v>8196.940047155234</v>
      </c>
      <c r="AL9" s="28">
        <v>-2.086348241354136</v>
      </c>
      <c r="AM9" s="45">
        <f t="shared" si="13"/>
        <v>0.00012199674442501904</v>
      </c>
      <c r="AN9" s="59">
        <v>-22.285269548503408</v>
      </c>
      <c r="AO9" s="60">
        <v>16013.880094310469</v>
      </c>
      <c r="AP9" s="49">
        <v>-1.7955034276444017</v>
      </c>
      <c r="AQ9" s="28">
        <v>-2.747627565278432</v>
      </c>
      <c r="AR9" s="43">
        <v>70</v>
      </c>
    </row>
    <row r="10" spans="1:44" ht="15.75">
      <c r="A10" s="42">
        <f t="shared" si="14"/>
        <v>2.7777777777777777E-10</v>
      </c>
      <c r="B10" s="43">
        <v>80</v>
      </c>
      <c r="C10" s="44">
        <f t="shared" si="0"/>
        <v>1.8518518518518517E-12</v>
      </c>
      <c r="D10" s="44"/>
      <c r="E10" s="18">
        <v>0.144</v>
      </c>
      <c r="F10" s="18"/>
      <c r="G10" s="18">
        <v>1</v>
      </c>
      <c r="H10" s="18">
        <v>273</v>
      </c>
      <c r="I10" s="18">
        <f t="shared" si="1"/>
        <v>0.15376045607366454</v>
      </c>
      <c r="J10" s="18"/>
      <c r="K10" s="18">
        <v>0.24</v>
      </c>
      <c r="L10" s="18">
        <v>0.6</v>
      </c>
      <c r="M10" s="45">
        <f t="shared" si="15"/>
        <v>0.02214150567460769</v>
      </c>
      <c r="N10" s="18">
        <f t="shared" si="16"/>
        <v>0.15308077742191126</v>
      </c>
      <c r="O10" s="46">
        <f t="shared" si="17"/>
        <v>0.022043631948755218</v>
      </c>
      <c r="P10" s="18">
        <f t="shared" si="2"/>
        <v>0.010815350275413388</v>
      </c>
      <c r="Q10" s="18">
        <f t="shared" si="3"/>
        <v>4.3065371024734985E-05</v>
      </c>
      <c r="R10" s="18">
        <f t="shared" si="8"/>
        <v>1.6364840989399294E-08</v>
      </c>
      <c r="S10" s="18">
        <f t="shared" si="4"/>
        <v>0.011024215918636504</v>
      </c>
      <c r="T10" s="29">
        <f t="shared" si="5"/>
        <v>-22.314213922918324</v>
      </c>
      <c r="U10" s="118">
        <f t="shared" si="18"/>
        <v>13824.361036701968</v>
      </c>
      <c r="V10" s="119">
        <f t="shared" si="10"/>
        <v>-1.859354932692152</v>
      </c>
      <c r="W10" s="105">
        <v>80</v>
      </c>
      <c r="X10" s="109">
        <f t="shared" si="6"/>
        <v>17470.45277390461</v>
      </c>
      <c r="Y10" s="28">
        <f t="shared" si="11"/>
        <v>-1.7576958394555224</v>
      </c>
      <c r="Z10" s="43"/>
      <c r="AA10" s="43"/>
      <c r="AB10" s="43"/>
      <c r="AC10" s="43"/>
      <c r="AF10" s="53">
        <v>-19.971129290396572</v>
      </c>
      <c r="AG10" s="109">
        <v>2089.0452773904617</v>
      </c>
      <c r="AH10" s="28">
        <v>-2.680052147139013</v>
      </c>
      <c r="AI10" s="45">
        <f t="shared" si="12"/>
        <v>0.0004786875664318556</v>
      </c>
      <c r="AJ10" s="29">
        <v>-22.009540730549837</v>
      </c>
      <c r="AK10" s="109">
        <v>8925.226386952305</v>
      </c>
      <c r="AL10" s="28">
        <v>-2.049380759265379</v>
      </c>
      <c r="AM10" s="45">
        <f t="shared" si="13"/>
        <v>0.0001120419759281278</v>
      </c>
      <c r="AN10" s="59">
        <v>-22.314213922918324</v>
      </c>
      <c r="AO10" s="60">
        <v>17470.45277390461</v>
      </c>
      <c r="AP10" s="49">
        <v>-1.7576958394555224</v>
      </c>
      <c r="AQ10" s="28">
        <v>-2.747627565278432</v>
      </c>
      <c r="AR10" s="43">
        <v>80</v>
      </c>
    </row>
    <row r="11" spans="1:44" ht="15.75">
      <c r="A11" s="42">
        <f t="shared" si="14"/>
        <v>2.7777777777777777E-10</v>
      </c>
      <c r="B11" s="43">
        <v>90</v>
      </c>
      <c r="C11" s="44">
        <f t="shared" si="0"/>
        <v>1.8518518518518517E-12</v>
      </c>
      <c r="D11" s="44"/>
      <c r="E11" s="18">
        <v>0.144</v>
      </c>
      <c r="F11" s="18"/>
      <c r="G11" s="18">
        <v>1</v>
      </c>
      <c r="H11" s="18">
        <v>273</v>
      </c>
      <c r="I11" s="18">
        <f t="shared" si="1"/>
        <v>0.15376045607366454</v>
      </c>
      <c r="J11" s="18"/>
      <c r="K11" s="18">
        <v>0.24</v>
      </c>
      <c r="L11" s="18">
        <v>0.6</v>
      </c>
      <c r="M11" s="45">
        <f t="shared" si="15"/>
        <v>0.02214150567460769</v>
      </c>
      <c r="N11" s="18">
        <f t="shared" si="16"/>
        <v>0.15308077742191126</v>
      </c>
      <c r="O11" s="46">
        <f t="shared" si="17"/>
        <v>0.022043631948755218</v>
      </c>
      <c r="P11" s="18">
        <f t="shared" si="2"/>
        <v>0.010815350275413388</v>
      </c>
      <c r="Q11" s="18">
        <f t="shared" si="3"/>
        <v>4.3065371024734985E-05</v>
      </c>
      <c r="R11" s="18">
        <f t="shared" si="8"/>
        <v>1.6364840989399294E-08</v>
      </c>
      <c r="S11" s="18">
        <f t="shared" si="4"/>
        <v>0.011024215918636504</v>
      </c>
      <c r="T11" s="29">
        <f t="shared" si="5"/>
        <v>-22.335658107064503</v>
      </c>
      <c r="U11" s="118">
        <f t="shared" si="18"/>
        <v>14598.10086844668</v>
      </c>
      <c r="V11" s="119">
        <f t="shared" si="10"/>
        <v>-1.8357036398321027</v>
      </c>
      <c r="W11" s="105">
        <v>90</v>
      </c>
      <c r="X11" s="109">
        <f t="shared" si="6"/>
        <v>18732.815762886203</v>
      </c>
      <c r="Y11" s="28">
        <f t="shared" si="11"/>
        <v>-1.7273969381414036</v>
      </c>
      <c r="Z11" s="43"/>
      <c r="AA11" s="43"/>
      <c r="AB11" s="43"/>
      <c r="AC11" s="43"/>
      <c r="AF11" s="53">
        <v>-20.122786113368818</v>
      </c>
      <c r="AG11" s="109">
        <v>2215.2815762886203</v>
      </c>
      <c r="AH11" s="28">
        <v>-2.654571064359049</v>
      </c>
      <c r="AI11" s="45">
        <f t="shared" si="12"/>
        <v>0.00045140988427997265</v>
      </c>
      <c r="AJ11" s="29">
        <v>-22.050681810004914</v>
      </c>
      <c r="AK11" s="109">
        <v>9556.407881443101</v>
      </c>
      <c r="AL11" s="28">
        <v>-2.0197053222039045</v>
      </c>
      <c r="AM11" s="45">
        <f t="shared" si="13"/>
        <v>0.00010464182906443617</v>
      </c>
      <c r="AN11" s="59">
        <v>-22.335658107064503</v>
      </c>
      <c r="AO11" s="60">
        <v>18732.815762886203</v>
      </c>
      <c r="AP11" s="49">
        <v>-1.7273969381414036</v>
      </c>
      <c r="AQ11" s="28">
        <v>-2.747627565278432</v>
      </c>
      <c r="AR11" s="43">
        <v>90</v>
      </c>
    </row>
    <row r="12" spans="1:44" ht="15.75">
      <c r="A12" s="42">
        <f t="shared" si="14"/>
        <v>2.7777777777777777E-10</v>
      </c>
      <c r="B12" s="43">
        <v>100</v>
      </c>
      <c r="C12" s="44">
        <f t="shared" si="0"/>
        <v>1.8518518518518517E-12</v>
      </c>
      <c r="D12" s="44"/>
      <c r="E12" s="18">
        <v>0.144</v>
      </c>
      <c r="F12" s="18"/>
      <c r="G12" s="18">
        <v>1</v>
      </c>
      <c r="H12" s="18">
        <v>273</v>
      </c>
      <c r="I12" s="18">
        <f t="shared" si="1"/>
        <v>0.15376045607366454</v>
      </c>
      <c r="J12" s="18"/>
      <c r="K12" s="18">
        <v>0.24</v>
      </c>
      <c r="L12" s="18">
        <v>0.6</v>
      </c>
      <c r="M12" s="45">
        <f t="shared" si="15"/>
        <v>0.02214150567460769</v>
      </c>
      <c r="N12" s="18">
        <f t="shared" si="16"/>
        <v>0.15308077742191126</v>
      </c>
      <c r="O12" s="46">
        <f t="shared" si="17"/>
        <v>0.022043631948755218</v>
      </c>
      <c r="P12" s="18">
        <f t="shared" si="2"/>
        <v>0.010815350275413388</v>
      </c>
      <c r="Q12" s="18">
        <f t="shared" si="3"/>
        <v>4.3065371024734985E-05</v>
      </c>
      <c r="R12" s="18">
        <f t="shared" si="8"/>
        <v>1.6364840989399294E-08</v>
      </c>
      <c r="S12" s="18">
        <f t="shared" si="4"/>
        <v>0.011024215918636504</v>
      </c>
      <c r="T12" s="29">
        <f t="shared" si="5"/>
        <v>-22.35166755644702</v>
      </c>
      <c r="U12" s="118">
        <f t="shared" si="18"/>
        <v>15234.676472260147</v>
      </c>
      <c r="V12" s="119">
        <f t="shared" si="10"/>
        <v>-1.8171667641393099</v>
      </c>
      <c r="W12" s="105">
        <v>100</v>
      </c>
      <c r="X12" s="109">
        <f t="shared" si="6"/>
        <v>19800.96906125524</v>
      </c>
      <c r="Y12" s="28">
        <f t="shared" si="11"/>
        <v>-1.7033135548062872</v>
      </c>
      <c r="Z12" s="43"/>
      <c r="AA12" s="43"/>
      <c r="AB12" s="43"/>
      <c r="AC12" s="43"/>
      <c r="AF12" s="53">
        <v>-20.238231746637638</v>
      </c>
      <c r="AG12" s="109">
        <v>2322.0969061255246</v>
      </c>
      <c r="AH12" s="28">
        <v>-2.6341196601713466</v>
      </c>
      <c r="AI12" s="45">
        <f t="shared" si="12"/>
        <v>0.0004306452488533412</v>
      </c>
      <c r="AJ12" s="29">
        <v>-22.081473383878446</v>
      </c>
      <c r="AK12" s="109">
        <v>10090.48453062762</v>
      </c>
      <c r="AL12" s="28">
        <v>-1.9960879790628359</v>
      </c>
      <c r="AM12" s="45">
        <f t="shared" si="13"/>
        <v>9.910326872457938E-05</v>
      </c>
      <c r="AN12" s="59">
        <v>-22.35166755644702</v>
      </c>
      <c r="AO12" s="60">
        <v>19800.96906125524</v>
      </c>
      <c r="AP12" s="49">
        <v>-1.7033135548062872</v>
      </c>
      <c r="AQ12" s="28">
        <v>-2.747627565278432</v>
      </c>
      <c r="AR12" s="43">
        <v>100</v>
      </c>
    </row>
    <row r="13" spans="1:44" ht="15.75">
      <c r="A13" s="42">
        <f t="shared" si="14"/>
        <v>2.7777777777777777E-10</v>
      </c>
      <c r="B13" s="43">
        <v>110</v>
      </c>
      <c r="C13" s="44">
        <f t="shared" si="0"/>
        <v>1.8518518518518517E-12</v>
      </c>
      <c r="D13" s="44"/>
      <c r="E13" s="18">
        <v>0.144</v>
      </c>
      <c r="F13" s="18"/>
      <c r="G13" s="18">
        <v>1</v>
      </c>
      <c r="H13" s="18">
        <v>273</v>
      </c>
      <c r="I13" s="18">
        <f t="shared" si="1"/>
        <v>0.15376045607366454</v>
      </c>
      <c r="J13" s="18"/>
      <c r="K13" s="18">
        <v>0.24</v>
      </c>
      <c r="L13" s="18">
        <v>0.6</v>
      </c>
      <c r="M13" s="45">
        <f t="shared" si="15"/>
        <v>0.02214150567460769</v>
      </c>
      <c r="N13" s="18">
        <f t="shared" si="16"/>
        <v>0.15308077742191126</v>
      </c>
      <c r="O13" s="46">
        <f t="shared" si="17"/>
        <v>0.022043631948755218</v>
      </c>
      <c r="P13" s="18">
        <f t="shared" si="2"/>
        <v>0.010815350275413388</v>
      </c>
      <c r="Q13" s="18">
        <f t="shared" si="3"/>
        <v>4.3065371024734985E-05</v>
      </c>
      <c r="R13" s="18">
        <f t="shared" si="8"/>
        <v>1.6364840989399294E-08</v>
      </c>
      <c r="S13" s="18">
        <f t="shared" si="4"/>
        <v>0.011024215918636504</v>
      </c>
      <c r="T13" s="29">
        <f t="shared" si="5"/>
        <v>-22.36353577303063</v>
      </c>
      <c r="U13" s="118">
        <f t="shared" si="18"/>
        <v>15743.617216157996</v>
      </c>
      <c r="V13" s="119">
        <f t="shared" si="10"/>
        <v>-1.8028954780420074</v>
      </c>
      <c r="W13" s="105">
        <v>110</v>
      </c>
      <c r="X13" s="109">
        <f t="shared" si="6"/>
        <v>20674.912669011726</v>
      </c>
      <c r="Y13" s="28">
        <f t="shared" si="11"/>
        <v>-1.6845563162347341</v>
      </c>
      <c r="Z13" s="43"/>
      <c r="AA13" s="43"/>
      <c r="AB13" s="43"/>
      <c r="AC13" s="43"/>
      <c r="AF13" s="53">
        <v>-20.32507377072268</v>
      </c>
      <c r="AG13" s="109">
        <v>2409.491266901173</v>
      </c>
      <c r="AH13" s="28">
        <v>-2.6180746434418363</v>
      </c>
      <c r="AI13" s="45">
        <f t="shared" si="12"/>
        <v>0.000415025368108552</v>
      </c>
      <c r="AJ13" s="29">
        <v>-22.10434267390471</v>
      </c>
      <c r="AK13" s="109">
        <v>10527.456334505863</v>
      </c>
      <c r="AL13" s="28">
        <v>-1.9776765512586811</v>
      </c>
      <c r="AM13" s="45">
        <f t="shared" si="13"/>
        <v>9.498970769627405E-05</v>
      </c>
      <c r="AN13" s="59">
        <v>-22.36353577303063</v>
      </c>
      <c r="AO13" s="60">
        <v>20674.912669011726</v>
      </c>
      <c r="AP13" s="49">
        <v>-1.6845563162347341</v>
      </c>
      <c r="AQ13" s="28">
        <v>-2.747627565278432</v>
      </c>
      <c r="AR13" s="43">
        <v>110</v>
      </c>
    </row>
    <row r="14" spans="1:44" ht="15.75">
      <c r="A14" s="42">
        <f>B$1/1000/10000/3600</f>
        <v>2.7777777777777777E-10</v>
      </c>
      <c r="B14" s="43">
        <v>120</v>
      </c>
      <c r="C14" s="44">
        <f t="shared" si="0"/>
        <v>1.8518518518518517E-12</v>
      </c>
      <c r="D14" s="44"/>
      <c r="E14" s="18">
        <v>0.144</v>
      </c>
      <c r="F14" s="18"/>
      <c r="G14" s="18">
        <v>1</v>
      </c>
      <c r="H14" s="18">
        <v>273</v>
      </c>
      <c r="I14" s="18">
        <f t="shared" si="1"/>
        <v>0.15376045607366454</v>
      </c>
      <c r="J14" s="18"/>
      <c r="K14" s="18">
        <v>0.24</v>
      </c>
      <c r="L14" s="18">
        <v>0.6</v>
      </c>
      <c r="M14" s="45">
        <f t="shared" si="7"/>
        <v>0.02214150567460769</v>
      </c>
      <c r="N14" s="18">
        <f>I14/1.00444</f>
        <v>0.15308077742191126</v>
      </c>
      <c r="O14" s="46">
        <f>N14*K14*L14</f>
        <v>0.022043631948755218</v>
      </c>
      <c r="P14" s="18">
        <f t="shared" si="2"/>
        <v>0.010815350275413388</v>
      </c>
      <c r="Q14" s="18">
        <f t="shared" si="3"/>
        <v>4.3065371024734985E-05</v>
      </c>
      <c r="R14" s="18">
        <f t="shared" si="8"/>
        <v>1.6364840989399294E-08</v>
      </c>
      <c r="S14" s="18">
        <f t="shared" si="4"/>
        <v>0.011024215918636504</v>
      </c>
      <c r="T14" s="29">
        <f t="shared" si="5"/>
        <v>-22.372095008061144</v>
      </c>
      <c r="U14" s="118">
        <f t="shared" si="9"/>
        <v>16132.285747377915</v>
      </c>
      <c r="V14" s="119">
        <f t="shared" si="10"/>
        <v>-1.7923040940404185</v>
      </c>
      <c r="W14" s="105">
        <v>120</v>
      </c>
      <c r="X14" s="109">
        <f t="shared" si="6"/>
        <v>21354.646586155657</v>
      </c>
      <c r="Y14" s="28">
        <f t="shared" si="11"/>
        <v>-1.670507611638351</v>
      </c>
      <c r="Z14" s="43"/>
      <c r="AA14" s="43"/>
      <c r="AB14" s="43"/>
      <c r="AC14" s="43"/>
      <c r="AF14" s="53">
        <v>-20.388381628055786</v>
      </c>
      <c r="AG14" s="109">
        <v>2477.4646586155663</v>
      </c>
      <c r="AH14" s="28">
        <v>-2.605992532070827</v>
      </c>
      <c r="AI14" s="45">
        <f t="shared" si="12"/>
        <v>0.0004036384521258162</v>
      </c>
      <c r="AJ14" s="29">
        <v>-22.120858391814878</v>
      </c>
      <c r="AK14" s="109">
        <v>10867.323293077829</v>
      </c>
      <c r="AL14" s="28">
        <v>-1.9638774128776493</v>
      </c>
      <c r="AM14" s="45">
        <f t="shared" si="13"/>
        <v>9.201897956205755E-05</v>
      </c>
      <c r="AN14" s="59">
        <v>-22.372095008061144</v>
      </c>
      <c r="AO14" s="60">
        <v>21354.646586155657</v>
      </c>
      <c r="AP14" s="49">
        <v>-1.670507611638351</v>
      </c>
      <c r="AQ14" s="28">
        <v>-2.747627565278432</v>
      </c>
      <c r="AR14" s="43">
        <v>120</v>
      </c>
    </row>
    <row r="15" spans="1:44" ht="15.75">
      <c r="A15" s="42">
        <f>B$1/1000/10000/3600</f>
        <v>2.7777777777777777E-10</v>
      </c>
      <c r="B15" s="43">
        <v>130</v>
      </c>
      <c r="C15" s="44">
        <f t="shared" si="0"/>
        <v>1.8518518518518517E-12</v>
      </c>
      <c r="D15" s="44"/>
      <c r="E15" s="18">
        <v>0.144</v>
      </c>
      <c r="F15" s="18"/>
      <c r="G15" s="18">
        <v>1</v>
      </c>
      <c r="H15" s="18">
        <v>273</v>
      </c>
      <c r="I15" s="18">
        <f t="shared" si="1"/>
        <v>0.15376045607366454</v>
      </c>
      <c r="J15" s="18"/>
      <c r="K15" s="18">
        <v>0.24</v>
      </c>
      <c r="L15" s="18">
        <v>0.6</v>
      </c>
      <c r="M15" s="45">
        <f t="shared" si="7"/>
        <v>0.02214150567460769</v>
      </c>
      <c r="N15" s="18">
        <f>I15/1.00444</f>
        <v>0.15308077742191126</v>
      </c>
      <c r="O15" s="46">
        <f>N15*K15*L15</f>
        <v>0.022043631948755218</v>
      </c>
      <c r="P15" s="18">
        <f t="shared" si="2"/>
        <v>0.010815350275413388</v>
      </c>
      <c r="Q15" s="18">
        <f t="shared" si="3"/>
        <v>4.3065371024734985E-05</v>
      </c>
      <c r="R15" s="18">
        <f t="shared" si="8"/>
        <v>1.6364840989399294E-08</v>
      </c>
      <c r="S15" s="18">
        <f t="shared" si="4"/>
        <v>0.011024215918636504</v>
      </c>
      <c r="T15" s="29">
        <f t="shared" si="5"/>
        <v>-22.37788255465134</v>
      </c>
      <c r="U15" s="118">
        <f t="shared" si="9"/>
        <v>16406.153678289636</v>
      </c>
      <c r="V15" s="119">
        <f t="shared" si="10"/>
        <v>-1.78499322468066</v>
      </c>
      <c r="W15" s="105">
        <v>130</v>
      </c>
      <c r="X15" s="109">
        <f t="shared" si="6"/>
        <v>21840.17081268704</v>
      </c>
      <c r="Y15" s="28">
        <f t="shared" si="11"/>
        <v>-1.6607439693227342</v>
      </c>
      <c r="Z15" s="43"/>
      <c r="AA15" s="43"/>
      <c r="AB15" s="43"/>
      <c r="AC15" s="43"/>
      <c r="AF15" s="53">
        <v>-20.43151546964994</v>
      </c>
      <c r="AG15" s="109">
        <v>2526.0170812687043</v>
      </c>
      <c r="AH15" s="28">
        <v>-2.59756371701281</v>
      </c>
      <c r="AI15" s="45">
        <f t="shared" si="12"/>
        <v>0.000395880141672576</v>
      </c>
      <c r="AJ15" s="29">
        <v>-22.132036680939216</v>
      </c>
      <c r="AK15" s="109">
        <v>11110.08540634352</v>
      </c>
      <c r="AL15" s="28">
        <v>-1.9542826025027737</v>
      </c>
      <c r="AM15" s="45">
        <f t="shared" si="13"/>
        <v>9.000830897564753E-05</v>
      </c>
      <c r="AN15" s="59">
        <v>-22.37788255465134</v>
      </c>
      <c r="AO15" s="60">
        <v>21840.17081268704</v>
      </c>
      <c r="AP15" s="49">
        <v>-1.6607439693227342</v>
      </c>
      <c r="AQ15" s="28">
        <v>-2.747627565278432</v>
      </c>
      <c r="AR15" s="43">
        <v>130</v>
      </c>
    </row>
    <row r="16" spans="1:44" ht="15.75">
      <c r="A16" s="42">
        <f>B$1/1000/10000/3600</f>
        <v>2.7777777777777777E-10</v>
      </c>
      <c r="B16" s="43">
        <v>140</v>
      </c>
      <c r="C16" s="44">
        <f t="shared" si="0"/>
        <v>1.8518518518518517E-12</v>
      </c>
      <c r="D16" s="44"/>
      <c r="E16" s="18">
        <v>0.144</v>
      </c>
      <c r="F16" s="18"/>
      <c r="G16" s="18">
        <v>1</v>
      </c>
      <c r="H16" s="18">
        <v>273</v>
      </c>
      <c r="I16" s="18">
        <f t="shared" si="1"/>
        <v>0.15376045607366454</v>
      </c>
      <c r="J16" s="18"/>
      <c r="K16" s="18">
        <v>0.24</v>
      </c>
      <c r="L16" s="18">
        <v>0.6</v>
      </c>
      <c r="M16" s="45">
        <f t="shared" si="7"/>
        <v>0.02214150567460769</v>
      </c>
      <c r="N16" s="18">
        <f>I16/1.00444</f>
        <v>0.15308077742191126</v>
      </c>
      <c r="O16" s="46">
        <f>N16*K16*L16</f>
        <v>0.022043631948755218</v>
      </c>
      <c r="P16" s="18">
        <f t="shared" si="2"/>
        <v>0.010815350275413388</v>
      </c>
      <c r="Q16" s="18">
        <f t="shared" si="3"/>
        <v>4.3065371024734985E-05</v>
      </c>
      <c r="R16" s="18">
        <f t="shared" si="8"/>
        <v>1.6364840989399294E-08</v>
      </c>
      <c r="S16" s="18">
        <f t="shared" si="4"/>
        <v>0.011024215918636504</v>
      </c>
      <c r="T16" s="29">
        <f t="shared" si="5"/>
        <v>-22.38123319282659</v>
      </c>
      <c r="U16" s="118">
        <f t="shared" si="9"/>
        <v>16568.99873193627</v>
      </c>
      <c r="V16" s="119">
        <f t="shared" si="10"/>
        <v>-1.7807037352942185</v>
      </c>
      <c r="W16" s="105">
        <v>140</v>
      </c>
      <c r="X16" s="109">
        <f t="shared" si="6"/>
        <v>22131.485348605867</v>
      </c>
      <c r="Y16" s="28">
        <f t="shared" si="11"/>
        <v>-1.654989437538824</v>
      </c>
      <c r="Z16" s="43"/>
      <c r="AA16" s="43"/>
      <c r="AB16" s="43"/>
      <c r="AC16" s="43"/>
      <c r="AF16" s="53">
        <v>-20.456608919751652</v>
      </c>
      <c r="AG16" s="109">
        <v>2555.1485348605875</v>
      </c>
      <c r="AH16" s="28">
        <v>-2.5925838485643706</v>
      </c>
      <c r="AI16" s="45">
        <f t="shared" si="12"/>
        <v>0.0003913666803932251</v>
      </c>
      <c r="AJ16" s="29">
        <v>-22.138512205200133</v>
      </c>
      <c r="AK16" s="109">
        <v>11255.742674302934</v>
      </c>
      <c r="AL16" s="28">
        <v>-1.9486258441809632</v>
      </c>
      <c r="AM16" s="45">
        <f t="shared" si="13"/>
        <v>8.884353782207717E-05</v>
      </c>
      <c r="AN16" s="59">
        <v>-22.38123319282659</v>
      </c>
      <c r="AO16" s="60">
        <v>22131.485348605867</v>
      </c>
      <c r="AP16" s="49">
        <v>-1.654989437538824</v>
      </c>
      <c r="AQ16" s="28">
        <v>-2.747627565278432</v>
      </c>
      <c r="AR16" s="43">
        <v>140</v>
      </c>
    </row>
    <row r="17" spans="1:44" ht="15.75">
      <c r="A17" s="42">
        <f>B$1/1000/10000/3600</f>
        <v>2.7777777777777777E-10</v>
      </c>
      <c r="B17" s="43">
        <v>150</v>
      </c>
      <c r="C17" s="44">
        <f t="shared" si="0"/>
        <v>1.8518518518518517E-12</v>
      </c>
      <c r="D17" s="44"/>
      <c r="E17" s="18">
        <v>0.144</v>
      </c>
      <c r="F17" s="18"/>
      <c r="G17" s="18">
        <v>1</v>
      </c>
      <c r="H17" s="18">
        <v>273</v>
      </c>
      <c r="I17" s="18">
        <f t="shared" si="1"/>
        <v>0.15376045607366454</v>
      </c>
      <c r="J17" s="18"/>
      <c r="K17" s="18">
        <v>0.24</v>
      </c>
      <c r="L17" s="18">
        <v>0.6</v>
      </c>
      <c r="M17" s="45">
        <f t="shared" si="7"/>
        <v>0.02214150567460769</v>
      </c>
      <c r="N17" s="18">
        <f>I17/1.00444</f>
        <v>0.15308077742191126</v>
      </c>
      <c r="O17" s="46">
        <f>N17*K17*L17</f>
        <v>0.022043631948755218</v>
      </c>
      <c r="P17" s="18">
        <f t="shared" si="2"/>
        <v>0.010815350275413388</v>
      </c>
      <c r="Q17" s="18">
        <f t="shared" si="3"/>
        <v>4.3065371024734985E-05</v>
      </c>
      <c r="R17" s="18">
        <f t="shared" si="8"/>
        <v>1.6364840989399294E-08</v>
      </c>
      <c r="S17" s="18">
        <f t="shared" si="4"/>
        <v>0.011024215918636504</v>
      </c>
      <c r="T17" s="29">
        <f t="shared" si="5"/>
        <v>-22.3823305559645</v>
      </c>
      <c r="U17" s="120">
        <f t="shared" si="9"/>
        <v>16623.03694777665</v>
      </c>
      <c r="V17" s="121">
        <f t="shared" si="10"/>
        <v>-1.7792896298194842</v>
      </c>
      <c r="W17" s="107">
        <v>150</v>
      </c>
      <c r="X17" s="109">
        <f t="shared" si="6"/>
        <v>22228.590193912147</v>
      </c>
      <c r="Y17" s="106">
        <f t="shared" si="11"/>
        <v>-1.6530880807297166</v>
      </c>
      <c r="Z17" s="43"/>
      <c r="AA17" s="43"/>
      <c r="AB17" s="43"/>
      <c r="AC17" s="43"/>
      <c r="AF17" s="53">
        <v>-20.46484672926652</v>
      </c>
      <c r="AG17" s="109">
        <v>2564.859019391215</v>
      </c>
      <c r="AH17" s="106">
        <v>-2.590936501422781</v>
      </c>
      <c r="AI17" s="45">
        <f t="shared" si="12"/>
        <v>0.00038988497708437647</v>
      </c>
      <c r="AJ17" s="29">
        <v>-22.140633629552433</v>
      </c>
      <c r="AK17" s="109">
        <v>11304.295096956073</v>
      </c>
      <c r="AL17" s="106">
        <v>-1.9467565138181275</v>
      </c>
      <c r="AM17" s="45">
        <f t="shared" si="13"/>
        <v>8.846195109231286E-05</v>
      </c>
      <c r="AN17" s="59">
        <v>-22.3823305559645</v>
      </c>
      <c r="AO17" s="60">
        <v>3739.449192782526</v>
      </c>
      <c r="AP17" s="49">
        <v>-2.4271923630807613</v>
      </c>
      <c r="AQ17" s="28">
        <v>-2.747627565278432</v>
      </c>
      <c r="AR17" s="43">
        <v>150</v>
      </c>
    </row>
    <row r="18" spans="22:39" ht="15">
      <c r="V18" s="49"/>
      <c r="AI18" s="45">
        <f t="shared" si="12"/>
        <v>1E-06</v>
      </c>
      <c r="AM18" s="45">
        <f t="shared" si="13"/>
        <v>1E-06</v>
      </c>
    </row>
    <row r="19" spans="1:43" ht="75">
      <c r="A19" s="31" t="s">
        <v>54</v>
      </c>
      <c r="B19" s="32">
        <v>0.4</v>
      </c>
      <c r="C19" s="33" t="s">
        <v>12</v>
      </c>
      <c r="D19" s="33"/>
      <c r="E19" s="15">
        <f>0.011237</f>
        <v>0.011237</v>
      </c>
      <c r="F19" s="15"/>
      <c r="G19" s="33" t="s">
        <v>55</v>
      </c>
      <c r="H19" s="34">
        <v>1</v>
      </c>
      <c r="I19" s="33" t="s">
        <v>23</v>
      </c>
      <c r="J19" s="33"/>
      <c r="K19" s="32">
        <v>283</v>
      </c>
      <c r="L19" s="35" t="s">
        <v>3</v>
      </c>
      <c r="M19" s="32">
        <v>-29</v>
      </c>
      <c r="N19" s="36" t="s">
        <v>41</v>
      </c>
      <c r="O19" s="15">
        <f>1/22400</f>
        <v>4.464285714285714E-05</v>
      </c>
      <c r="P19" s="37" t="s">
        <v>56</v>
      </c>
      <c r="Q19" s="32">
        <v>380</v>
      </c>
      <c r="R19" s="35" t="s">
        <v>58</v>
      </c>
      <c r="S19" s="32">
        <v>-8</v>
      </c>
      <c r="T19" s="37" t="s">
        <v>39</v>
      </c>
      <c r="U19" s="32">
        <v>150</v>
      </c>
      <c r="V19" s="104" t="s">
        <v>81</v>
      </c>
      <c r="W19" s="108">
        <f>Q19/R21</f>
        <v>23220512820.51282</v>
      </c>
      <c r="AE19" s="103" t="s">
        <v>74</v>
      </c>
      <c r="AF19" s="11" t="s">
        <v>66</v>
      </c>
      <c r="AG19" s="11"/>
      <c r="AH19" s="11"/>
      <c r="AI19" s="45">
        <f t="shared" si="12"/>
        <v>1E-06</v>
      </c>
      <c r="AJ19" t="s">
        <v>65</v>
      </c>
      <c r="AM19" s="45">
        <f t="shared" si="13"/>
        <v>1E-06</v>
      </c>
      <c r="AN19" s="55" t="s">
        <v>73</v>
      </c>
      <c r="AO19" s="55"/>
      <c r="AP19" s="55"/>
      <c r="AQ19" s="55"/>
    </row>
    <row r="20" spans="1:44" ht="90">
      <c r="A20" s="38" t="s">
        <v>1</v>
      </c>
      <c r="B20" s="39" t="s">
        <v>60</v>
      </c>
      <c r="C20" s="39" t="s">
        <v>2</v>
      </c>
      <c r="D20" s="39"/>
      <c r="E20" s="39" t="s">
        <v>17</v>
      </c>
      <c r="F20" s="39"/>
      <c r="G20" s="39" t="s">
        <v>18</v>
      </c>
      <c r="H20" s="39" t="s">
        <v>20</v>
      </c>
      <c r="I20" s="39" t="s">
        <v>27</v>
      </c>
      <c r="J20" s="39"/>
      <c r="K20" s="39" t="s">
        <v>24</v>
      </c>
      <c r="L20" s="39" t="s">
        <v>25</v>
      </c>
      <c r="M20" s="39" t="s">
        <v>16</v>
      </c>
      <c r="N20" s="18" t="s">
        <v>31</v>
      </c>
      <c r="O20" s="39" t="s">
        <v>15</v>
      </c>
      <c r="P20" s="40"/>
      <c r="Q20" s="39" t="s">
        <v>40</v>
      </c>
      <c r="R20" s="40"/>
      <c r="S20" s="40"/>
      <c r="T20" s="30" t="s">
        <v>57</v>
      </c>
      <c r="U20" s="110" t="s">
        <v>83</v>
      </c>
      <c r="V20" s="111" t="s">
        <v>62</v>
      </c>
      <c r="W20" s="104" t="s">
        <v>60</v>
      </c>
      <c r="X20" s="39" t="s">
        <v>79</v>
      </c>
      <c r="Y20" s="33" t="s">
        <v>62</v>
      </c>
      <c r="Z20" s="39"/>
      <c r="AA20" s="39"/>
      <c r="AB20" s="39"/>
      <c r="AC20" s="39"/>
      <c r="AF20" s="50" t="s">
        <v>63</v>
      </c>
      <c r="AG20" s="51" t="s">
        <v>64</v>
      </c>
      <c r="AH20" s="52" t="s">
        <v>62</v>
      </c>
      <c r="AI20" s="45" t="e">
        <f t="shared" si="12"/>
        <v>#VALUE!</v>
      </c>
      <c r="AJ20" s="30" t="s">
        <v>63</v>
      </c>
      <c r="AK20" s="47" t="s">
        <v>64</v>
      </c>
      <c r="AL20" s="41" t="s">
        <v>62</v>
      </c>
      <c r="AM20" s="45" t="e">
        <f t="shared" si="13"/>
        <v>#VALUE!</v>
      </c>
      <c r="AN20" s="56" t="s">
        <v>63</v>
      </c>
      <c r="AO20" s="57" t="s">
        <v>64</v>
      </c>
      <c r="AP20" s="58" t="s">
        <v>62</v>
      </c>
      <c r="AQ20" s="123"/>
      <c r="AR20" s="39" t="s">
        <v>60</v>
      </c>
    </row>
    <row r="21" spans="1:44" ht="15.75">
      <c r="A21" s="42">
        <f>B$19/1000/10000/3600</f>
        <v>1.1111111111111111E-11</v>
      </c>
      <c r="B21" s="43">
        <v>10</v>
      </c>
      <c r="C21" s="44">
        <f aca="true" t="shared" si="19" ref="C21:C35">A21/U$19</f>
        <v>7.407407407407407E-14</v>
      </c>
      <c r="D21" s="44"/>
      <c r="E21" s="18">
        <v>0.144</v>
      </c>
      <c r="F21" s="18"/>
      <c r="G21" s="18">
        <v>1</v>
      </c>
      <c r="H21" s="18">
        <v>273</v>
      </c>
      <c r="I21" s="18">
        <f aca="true" t="shared" si="20" ref="I21:I35">E21*(G21/H$19*K$19/H21)^1.823</f>
        <v>0.15376045607366454</v>
      </c>
      <c r="J21" s="18"/>
      <c r="K21" s="18">
        <v>0.24</v>
      </c>
      <c r="L21" s="18">
        <v>0.6</v>
      </c>
      <c r="M21" s="45">
        <f aca="true" t="shared" si="21" ref="M21:M27">I21*K21*L21</f>
        <v>0.02214150567460769</v>
      </c>
      <c r="N21" s="18">
        <f aca="true" t="shared" si="22" ref="N21:N27">I21/1.00444</f>
        <v>0.15308077742191126</v>
      </c>
      <c r="O21" s="46">
        <f aca="true" t="shared" si="23" ref="O21:O27">N21*K21*L21</f>
        <v>0.022043631948755218</v>
      </c>
      <c r="P21" s="18">
        <f aca="true" t="shared" si="24" ref="P21:P35">((M$19/1000+1)*E$19)/(1+E$19*(M$19/1000+1))</f>
        <v>0.010793359286073027</v>
      </c>
      <c r="Q21" s="18">
        <f aca="true" t="shared" si="25" ref="Q21:Q35">O$19*H21/K$19*H$19/G21</f>
        <v>4.3065371024734985E-05</v>
      </c>
      <c r="R21" s="18">
        <f>Q$19/10^6*Q21</f>
        <v>1.6364840989399294E-08</v>
      </c>
      <c r="S21" s="18">
        <f aca="true" t="shared" si="26" ref="S21:S35">((S$19/1000+1)*E$19)/(1+E$19*(S$19/1000+1))</f>
        <v>0.011024215918636504</v>
      </c>
      <c r="T21" s="29">
        <f aca="true" t="shared" si="27" ref="T21:T35">1000*(1/$E$19*((C21/M21*(U$19*B21-B21^2/2)*M21/O21*P21+R21*S21)/(C21/M21*(U$19*B21-B21^2/2)*(1-M21/O21*P21)+R21*(1-S21)))-1)</f>
        <v>-11.805593838489115</v>
      </c>
      <c r="U21" s="112">
        <f aca="true" t="shared" si="28" ref="U21:U27">Q$19*(S$19-1.0044*M$19-4.4)/(T21-4.4-1.0044*M$19)</f>
        <v>491.91185335704694</v>
      </c>
      <c r="V21" s="113">
        <f>LOG(U21/1000000)</f>
        <v>-3.308112712334886</v>
      </c>
      <c r="W21" s="105">
        <v>10</v>
      </c>
      <c r="X21" s="109">
        <f aca="true" t="shared" si="29" ref="X21:X35">Q$19+(C21/M21*(U$19*B21-B21^2/2))*W$19</f>
        <v>492.6416205552804</v>
      </c>
      <c r="Y21" s="28">
        <f>LOG(X21/1000000)</f>
        <v>-3.3074688998174233</v>
      </c>
      <c r="Z21" s="43"/>
      <c r="AA21" s="43"/>
      <c r="AB21" s="43"/>
      <c r="AC21" s="43"/>
      <c r="AF21" s="53">
        <v>-15.084016503631892</v>
      </c>
      <c r="AG21" s="109">
        <v>661.604051388201</v>
      </c>
      <c r="AH21" s="28">
        <v>-3.1794018440084835</v>
      </c>
      <c r="AI21" s="45">
        <f t="shared" si="12"/>
        <v>0.0015114780477866864</v>
      </c>
      <c r="AJ21" s="29">
        <v>-21.10527763275072</v>
      </c>
      <c r="AK21" s="48">
        <v>1788.0202569410048</v>
      </c>
      <c r="AL21" s="49">
        <v>-2.747627565278432</v>
      </c>
      <c r="AM21" s="45">
        <f t="shared" si="13"/>
        <v>0.0005592777800576088</v>
      </c>
      <c r="AN21" s="59">
        <v>-22.66320343727013</v>
      </c>
      <c r="AO21" s="60">
        <v>3196.0405138820097</v>
      </c>
      <c r="AP21" s="61">
        <v>-2.4953877240877467</v>
      </c>
      <c r="AQ21" s="124"/>
      <c r="AR21" s="43">
        <v>10</v>
      </c>
    </row>
    <row r="22" spans="1:44" ht="15.75">
      <c r="A22" s="42">
        <f aca="true" t="shared" si="30" ref="A22:A35">B$19/1000/10000/3600</f>
        <v>1.1111111111111111E-11</v>
      </c>
      <c r="B22" s="43">
        <v>20</v>
      </c>
      <c r="C22" s="44">
        <f t="shared" si="19"/>
        <v>7.407407407407407E-14</v>
      </c>
      <c r="D22" s="44"/>
      <c r="E22" s="18">
        <v>0.144</v>
      </c>
      <c r="F22" s="18"/>
      <c r="G22" s="18">
        <v>1</v>
      </c>
      <c r="H22" s="18">
        <v>273</v>
      </c>
      <c r="I22" s="18">
        <f t="shared" si="20"/>
        <v>0.15376045607366454</v>
      </c>
      <c r="J22" s="18"/>
      <c r="K22" s="18">
        <v>0.24</v>
      </c>
      <c r="L22" s="18">
        <v>0.6</v>
      </c>
      <c r="M22" s="45">
        <f t="shared" si="21"/>
        <v>0.02214150567460769</v>
      </c>
      <c r="N22" s="18">
        <f t="shared" si="22"/>
        <v>0.15308077742191126</v>
      </c>
      <c r="O22" s="46">
        <f t="shared" si="23"/>
        <v>0.022043631948755218</v>
      </c>
      <c r="P22" s="18">
        <f t="shared" si="24"/>
        <v>0.010793359286073027</v>
      </c>
      <c r="Q22" s="18">
        <f t="shared" si="25"/>
        <v>4.3065371024734985E-05</v>
      </c>
      <c r="R22" s="18">
        <f aca="true" t="shared" si="31" ref="R22:R35">Q$19/10^6*Q22</f>
        <v>1.6364840989399294E-08</v>
      </c>
      <c r="S22" s="18">
        <f t="shared" si="26"/>
        <v>0.011024215918636504</v>
      </c>
      <c r="T22" s="29">
        <f t="shared" si="27"/>
        <v>-14.058763264681362</v>
      </c>
      <c r="U22" s="112">
        <f t="shared" si="28"/>
        <v>595.7995381968094</v>
      </c>
      <c r="V22" s="113">
        <f aca="true" t="shared" si="32" ref="V22:V35">LOG(U22/1000000)</f>
        <v>-3.224899837741746</v>
      </c>
      <c r="W22" s="105">
        <v>20</v>
      </c>
      <c r="X22" s="109">
        <f t="shared" si="29"/>
        <v>597.5148534860587</v>
      </c>
      <c r="Y22" s="28">
        <f aca="true" t="shared" si="33" ref="Y22:Y35">LOG(X22/1000000)</f>
        <v>-3.2236512942177287</v>
      </c>
      <c r="Z22" s="43"/>
      <c r="AA22" s="43"/>
      <c r="AB22" s="43"/>
      <c r="AC22" s="43"/>
      <c r="AF22" s="53">
        <v>-17.79676625659321</v>
      </c>
      <c r="AG22" s="109">
        <v>923.7871337151469</v>
      </c>
      <c r="AH22" s="28">
        <v>-3.034428090796364</v>
      </c>
      <c r="AI22" s="45">
        <f t="shared" si="12"/>
        <v>0.0010825004630432044</v>
      </c>
      <c r="AJ22" s="29">
        <v>-22.60121204055221</v>
      </c>
      <c r="AK22" s="48">
        <v>3098.9356685757334</v>
      </c>
      <c r="AL22" s="49">
        <v>-2.5087874392729996</v>
      </c>
      <c r="AM22" s="45">
        <f t="shared" si="13"/>
        <v>0.0003226914356888215</v>
      </c>
      <c r="AN22" s="59">
        <v>-23.554739737811524</v>
      </c>
      <c r="AO22" s="60">
        <v>5817.871337151467</v>
      </c>
      <c r="AP22" s="61">
        <v>-2.2352358874518004</v>
      </c>
      <c r="AQ22" s="124"/>
      <c r="AR22" s="43">
        <v>20</v>
      </c>
    </row>
    <row r="23" spans="1:44" ht="15.75">
      <c r="A23" s="42">
        <f t="shared" si="30"/>
        <v>1.1111111111111111E-11</v>
      </c>
      <c r="B23" s="43">
        <v>30</v>
      </c>
      <c r="C23" s="44">
        <f t="shared" si="19"/>
        <v>7.407407407407407E-14</v>
      </c>
      <c r="D23" s="44"/>
      <c r="E23" s="18">
        <v>0.144</v>
      </c>
      <c r="F23" s="18"/>
      <c r="G23" s="18">
        <v>1</v>
      </c>
      <c r="H23" s="18">
        <v>273</v>
      </c>
      <c r="I23" s="18">
        <f t="shared" si="20"/>
        <v>0.15376045607366454</v>
      </c>
      <c r="J23" s="18"/>
      <c r="K23" s="18">
        <v>0.24</v>
      </c>
      <c r="L23" s="18">
        <v>0.6</v>
      </c>
      <c r="M23" s="45">
        <f t="shared" si="21"/>
        <v>0.02214150567460769</v>
      </c>
      <c r="N23" s="18">
        <f t="shared" si="22"/>
        <v>0.15308077742191126</v>
      </c>
      <c r="O23" s="46">
        <f t="shared" si="23"/>
        <v>0.022043631948755218</v>
      </c>
      <c r="P23" s="18">
        <f t="shared" si="24"/>
        <v>0.010793359286073027</v>
      </c>
      <c r="Q23" s="18">
        <f t="shared" si="25"/>
        <v>4.3065371024734985E-05</v>
      </c>
      <c r="R23" s="18">
        <f t="shared" si="31"/>
        <v>1.6364840989399294E-08</v>
      </c>
      <c r="S23" s="18">
        <f t="shared" si="26"/>
        <v>0.011024215918636504</v>
      </c>
      <c r="T23" s="29">
        <f t="shared" si="27"/>
        <v>-15.538335190483753</v>
      </c>
      <c r="U23" s="112">
        <f t="shared" si="28"/>
        <v>691.7297663919022</v>
      </c>
      <c r="V23" s="113">
        <f t="shared" si="32"/>
        <v>-3.160063535436541</v>
      </c>
      <c r="W23" s="105">
        <v>30</v>
      </c>
      <c r="X23" s="109">
        <f t="shared" si="29"/>
        <v>694.6196987923349</v>
      </c>
      <c r="Y23" s="28">
        <f t="shared" si="33"/>
        <v>-3.158252904648201</v>
      </c>
      <c r="Z23" s="43"/>
      <c r="AA23" s="43"/>
      <c r="AB23" s="43"/>
      <c r="AC23" s="43"/>
      <c r="AF23" s="53">
        <v>-19.22126176941097</v>
      </c>
      <c r="AG23" s="109">
        <v>1166.5492469808373</v>
      </c>
      <c r="AH23" s="28">
        <v>-2.9330969223305194</v>
      </c>
      <c r="AI23" s="45">
        <f t="shared" si="12"/>
        <v>0.0008572291333504479</v>
      </c>
      <c r="AJ23" s="29">
        <v>-23.175457186690117</v>
      </c>
      <c r="AK23" s="48">
        <v>4312.746234904185</v>
      </c>
      <c r="AL23" s="49">
        <v>-2.3652460953024903</v>
      </c>
      <c r="AM23" s="45">
        <f t="shared" si="13"/>
        <v>0.00023187081862288548</v>
      </c>
      <c r="AN23" s="59">
        <v>-23.87470667478242</v>
      </c>
      <c r="AO23" s="60">
        <v>8245.49246980837</v>
      </c>
      <c r="AP23" s="61">
        <v>-2.0837834005976124</v>
      </c>
      <c r="AQ23" s="124"/>
      <c r="AR23" s="43">
        <v>30</v>
      </c>
    </row>
    <row r="24" spans="1:44" ht="15.75">
      <c r="A24" s="42">
        <f t="shared" si="30"/>
        <v>1.1111111111111111E-11</v>
      </c>
      <c r="B24" s="43">
        <v>40</v>
      </c>
      <c r="C24" s="44">
        <f t="shared" si="19"/>
        <v>7.407407407407407E-14</v>
      </c>
      <c r="D24" s="44"/>
      <c r="E24" s="18">
        <v>0.144</v>
      </c>
      <c r="F24" s="18"/>
      <c r="G24" s="18">
        <v>1</v>
      </c>
      <c r="H24" s="18">
        <v>273</v>
      </c>
      <c r="I24" s="18">
        <f t="shared" si="20"/>
        <v>0.15376045607366454</v>
      </c>
      <c r="J24" s="18"/>
      <c r="K24" s="18">
        <v>0.24</v>
      </c>
      <c r="L24" s="18">
        <v>0.6</v>
      </c>
      <c r="M24" s="45">
        <f t="shared" si="21"/>
        <v>0.02214150567460769</v>
      </c>
      <c r="N24" s="18">
        <f t="shared" si="22"/>
        <v>0.15308077742191126</v>
      </c>
      <c r="O24" s="46">
        <f t="shared" si="23"/>
        <v>0.022043631948755218</v>
      </c>
      <c r="P24" s="18">
        <f t="shared" si="24"/>
        <v>0.010793359286073027</v>
      </c>
      <c r="Q24" s="18">
        <f t="shared" si="25"/>
        <v>4.3065371024734985E-05</v>
      </c>
      <c r="R24" s="18">
        <f t="shared" si="31"/>
        <v>1.6364840989399294E-08</v>
      </c>
      <c r="S24" s="18">
        <f t="shared" si="26"/>
        <v>0.011024215918636504</v>
      </c>
      <c r="T24" s="29">
        <f t="shared" si="27"/>
        <v>-16.57578881240218</v>
      </c>
      <c r="U24" s="112">
        <f t="shared" si="28"/>
        <v>779.7638897317411</v>
      </c>
      <c r="V24" s="113">
        <f t="shared" si="32"/>
        <v>-3.108036880527055</v>
      </c>
      <c r="W24" s="105">
        <v>40</v>
      </c>
      <c r="X24" s="109">
        <f t="shared" si="29"/>
        <v>783.9561564741091</v>
      </c>
      <c r="Y24" s="28">
        <f t="shared" si="33"/>
        <v>-3.1057082249862185</v>
      </c>
      <c r="Z24" s="43"/>
      <c r="AA24" s="43"/>
      <c r="AB24" s="43"/>
      <c r="AC24" s="43"/>
      <c r="AF24" s="53">
        <v>-20.092283899406425</v>
      </c>
      <c r="AG24" s="109">
        <v>1389.8903911852726</v>
      </c>
      <c r="AH24" s="28">
        <v>-2.8570194475015573</v>
      </c>
      <c r="AI24" s="45">
        <f t="shared" si="12"/>
        <v>0.0007194811953100986</v>
      </c>
      <c r="AJ24" s="29">
        <v>-23.476992026884467</v>
      </c>
      <c r="AK24" s="48">
        <v>5429.451955926363</v>
      </c>
      <c r="AL24" s="49">
        <v>-2.265244005499367</v>
      </c>
      <c r="AM24" s="45">
        <f t="shared" si="13"/>
        <v>0.0001841806517706597</v>
      </c>
      <c r="AN24" s="59">
        <v>-24.038139335897935</v>
      </c>
      <c r="AO24" s="60">
        <v>10478.903911852725</v>
      </c>
      <c r="AP24" s="61">
        <v>-1.9796841419638536</v>
      </c>
      <c r="AQ24" s="124"/>
      <c r="AR24" s="43">
        <v>40</v>
      </c>
    </row>
    <row r="25" spans="1:44" ht="15.75">
      <c r="A25" s="42">
        <f t="shared" si="30"/>
        <v>1.1111111111111111E-11</v>
      </c>
      <c r="B25" s="43">
        <v>50</v>
      </c>
      <c r="C25" s="44">
        <f t="shared" si="19"/>
        <v>7.407407407407407E-14</v>
      </c>
      <c r="D25" s="44"/>
      <c r="E25" s="18">
        <v>0.144</v>
      </c>
      <c r="F25" s="18"/>
      <c r="G25" s="18">
        <v>1</v>
      </c>
      <c r="H25" s="18">
        <v>273</v>
      </c>
      <c r="I25" s="18">
        <f t="shared" si="20"/>
        <v>0.15376045607366454</v>
      </c>
      <c r="J25" s="18"/>
      <c r="K25" s="18">
        <v>0.24</v>
      </c>
      <c r="L25" s="18">
        <v>0.6</v>
      </c>
      <c r="M25" s="45">
        <f t="shared" si="21"/>
        <v>0.02214150567460769</v>
      </c>
      <c r="N25" s="18">
        <f t="shared" si="22"/>
        <v>0.15308077742191126</v>
      </c>
      <c r="O25" s="46">
        <f t="shared" si="23"/>
        <v>0.022043631948755218</v>
      </c>
      <c r="P25" s="18">
        <f t="shared" si="24"/>
        <v>0.010793359286073027</v>
      </c>
      <c r="Q25" s="18">
        <f t="shared" si="25"/>
        <v>4.3065371024734985E-05</v>
      </c>
      <c r="R25" s="18">
        <f t="shared" si="31"/>
        <v>1.6364840989399294E-08</v>
      </c>
      <c r="S25" s="18">
        <f t="shared" si="26"/>
        <v>0.011024215918636504</v>
      </c>
      <c r="T25" s="29">
        <f t="shared" si="27"/>
        <v>-17.33597388948138</v>
      </c>
      <c r="U25" s="112">
        <f t="shared" si="28"/>
        <v>859.9579990868895</v>
      </c>
      <c r="V25" s="113">
        <f t="shared" si="32"/>
        <v>-3.06552275946601</v>
      </c>
      <c r="W25" s="105">
        <v>50</v>
      </c>
      <c r="X25" s="109">
        <f t="shared" si="29"/>
        <v>865.524226531381</v>
      </c>
      <c r="Y25" s="28">
        <f t="shared" si="33"/>
        <v>-3.0627207714608664</v>
      </c>
      <c r="Z25" s="43"/>
      <c r="AA25" s="43"/>
      <c r="AB25" s="43"/>
      <c r="AC25" s="43"/>
      <c r="AF25" s="53">
        <v>-20.674360324092312</v>
      </c>
      <c r="AG25" s="109">
        <v>1593.8105663284528</v>
      </c>
      <c r="AH25" s="28">
        <v>-2.797563298302002</v>
      </c>
      <c r="AI25" s="45">
        <f t="shared" si="12"/>
        <v>0.00062742713665378</v>
      </c>
      <c r="AJ25" s="29">
        <v>-23.6611050814578</v>
      </c>
      <c r="AK25" s="48">
        <v>6449.052831642262</v>
      </c>
      <c r="AL25" s="49">
        <v>-2.190504065240248</v>
      </c>
      <c r="AM25" s="45">
        <f t="shared" si="13"/>
        <v>0.00015506153013563516</v>
      </c>
      <c r="AN25" s="59">
        <v>-24.13642881509892</v>
      </c>
      <c r="AO25" s="60">
        <v>12518.105663284525</v>
      </c>
      <c r="AP25" s="61">
        <v>-1.9024613869584905</v>
      </c>
      <c r="AQ25" s="124"/>
      <c r="AR25" s="43">
        <v>50</v>
      </c>
    </row>
    <row r="26" spans="1:44" ht="15.75">
      <c r="A26" s="42">
        <f t="shared" si="30"/>
        <v>1.1111111111111111E-11</v>
      </c>
      <c r="B26" s="43">
        <v>60</v>
      </c>
      <c r="C26" s="44">
        <f t="shared" si="19"/>
        <v>7.407407407407407E-14</v>
      </c>
      <c r="D26" s="44"/>
      <c r="E26" s="18">
        <v>0.144</v>
      </c>
      <c r="F26" s="18"/>
      <c r="G26" s="18">
        <v>1</v>
      </c>
      <c r="H26" s="18">
        <v>273</v>
      </c>
      <c r="I26" s="18">
        <f t="shared" si="20"/>
        <v>0.15376045607366454</v>
      </c>
      <c r="J26" s="18"/>
      <c r="K26" s="18">
        <v>0.24</v>
      </c>
      <c r="L26" s="18">
        <v>0.6</v>
      </c>
      <c r="M26" s="45">
        <f t="shared" si="21"/>
        <v>0.02214150567460769</v>
      </c>
      <c r="N26" s="18">
        <f t="shared" si="22"/>
        <v>0.15308077742191126</v>
      </c>
      <c r="O26" s="46">
        <f t="shared" si="23"/>
        <v>0.022043631948755218</v>
      </c>
      <c r="P26" s="18">
        <f t="shared" si="24"/>
        <v>0.010793359286073027</v>
      </c>
      <c r="Q26" s="18">
        <f t="shared" si="25"/>
        <v>4.3065371024734985E-05</v>
      </c>
      <c r="R26" s="18">
        <f t="shared" si="31"/>
        <v>1.6364840989399294E-08</v>
      </c>
      <c r="S26" s="18">
        <f t="shared" si="26"/>
        <v>0.011024215918636504</v>
      </c>
      <c r="T26" s="29">
        <f t="shared" si="27"/>
        <v>-17.90998936920507</v>
      </c>
      <c r="U26" s="112">
        <f t="shared" si="28"/>
        <v>932.3630145857769</v>
      </c>
      <c r="V26" s="113">
        <f t="shared" si="32"/>
        <v>-3.030414962607373</v>
      </c>
      <c r="W26" s="105">
        <v>60</v>
      </c>
      <c r="X26" s="109">
        <f t="shared" si="29"/>
        <v>939.323908964151</v>
      </c>
      <c r="Y26" s="28">
        <f t="shared" si="33"/>
        <v>-3.0271846232622197</v>
      </c>
      <c r="Z26" s="43"/>
      <c r="AA26" s="43"/>
      <c r="AB26" s="43"/>
      <c r="AC26" s="43"/>
      <c r="AF26" s="53">
        <v>-21.085967233955838</v>
      </c>
      <c r="AG26" s="109">
        <v>1778.3097724103773</v>
      </c>
      <c r="AH26" s="28">
        <v>-2.7499925849122833</v>
      </c>
      <c r="AI26" s="45">
        <f t="shared" si="12"/>
        <v>0.000562331723929386</v>
      </c>
      <c r="AJ26" s="29">
        <v>-23.783796631849373</v>
      </c>
      <c r="AK26" s="48">
        <v>7371.548862051886</v>
      </c>
      <c r="AL26" s="49">
        <v>-2.13244125141236</v>
      </c>
      <c r="AM26" s="45">
        <f t="shared" si="13"/>
        <v>0.00013565670101542928</v>
      </c>
      <c r="AN26" s="59">
        <v>-24.20130843474222</v>
      </c>
      <c r="AO26" s="60">
        <v>14363.097724103773</v>
      </c>
      <c r="AP26" s="61">
        <v>-1.842751884648064</v>
      </c>
      <c r="AQ26" s="124"/>
      <c r="AR26" s="43">
        <v>60</v>
      </c>
    </row>
    <row r="27" spans="1:44" ht="15.75">
      <c r="A27" s="42">
        <f t="shared" si="30"/>
        <v>1.1111111111111111E-11</v>
      </c>
      <c r="B27" s="43">
        <v>70</v>
      </c>
      <c r="C27" s="44">
        <f t="shared" si="19"/>
        <v>7.407407407407407E-14</v>
      </c>
      <c r="D27" s="44"/>
      <c r="E27" s="18">
        <v>0.144</v>
      </c>
      <c r="F27" s="18"/>
      <c r="G27" s="18">
        <v>1</v>
      </c>
      <c r="H27" s="18">
        <v>273</v>
      </c>
      <c r="I27" s="18">
        <f t="shared" si="20"/>
        <v>0.15376045607366454</v>
      </c>
      <c r="J27" s="18"/>
      <c r="K27" s="18">
        <v>0.24</v>
      </c>
      <c r="L27" s="18">
        <v>0.6</v>
      </c>
      <c r="M27" s="45">
        <f t="shared" si="21"/>
        <v>0.02214150567460769</v>
      </c>
      <c r="N27" s="18">
        <f t="shared" si="22"/>
        <v>0.15308077742191126</v>
      </c>
      <c r="O27" s="46">
        <f t="shared" si="23"/>
        <v>0.022043631948755218</v>
      </c>
      <c r="P27" s="18">
        <f t="shared" si="24"/>
        <v>0.010793359286073027</v>
      </c>
      <c r="Q27" s="18">
        <f t="shared" si="25"/>
        <v>4.3065371024734985E-05</v>
      </c>
      <c r="R27" s="18">
        <f t="shared" si="31"/>
        <v>1.6364840989399294E-08</v>
      </c>
      <c r="S27" s="18">
        <f t="shared" si="26"/>
        <v>0.011024215918636504</v>
      </c>
      <c r="T27" s="29">
        <f t="shared" si="27"/>
        <v>-18.352143532018083</v>
      </c>
      <c r="U27" s="112">
        <f t="shared" si="28"/>
        <v>997.0247670771216</v>
      </c>
      <c r="V27" s="113">
        <f t="shared" si="32"/>
        <v>-3.001294053251706</v>
      </c>
      <c r="W27" s="105">
        <v>70</v>
      </c>
      <c r="X27" s="109">
        <f t="shared" si="29"/>
        <v>1005.3552037724188</v>
      </c>
      <c r="Y27" s="28">
        <f t="shared" si="33"/>
        <v>-2.997680469802066</v>
      </c>
      <c r="Z27" s="43"/>
      <c r="AA27" s="43"/>
      <c r="AB27" s="43"/>
      <c r="AC27" s="43"/>
      <c r="AF27" s="53">
        <v>-21.38799836944838</v>
      </c>
      <c r="AG27" s="109">
        <v>1943.3880094310473</v>
      </c>
      <c r="AH27" s="28">
        <v>-2.711440481164683</v>
      </c>
      <c r="AI27" s="45">
        <f t="shared" si="12"/>
        <v>0.0005145652824588351</v>
      </c>
      <c r="AJ27" s="29">
        <v>-23.870164687322838</v>
      </c>
      <c r="AK27" s="48">
        <v>8196.940047155234</v>
      </c>
      <c r="AL27" s="49">
        <v>-2.086348241354136</v>
      </c>
      <c r="AM27" s="45">
        <f t="shared" si="13"/>
        <v>0.00012199674442501904</v>
      </c>
      <c r="AN27" s="59">
        <v>-24.2466864110501</v>
      </c>
      <c r="AO27" s="60">
        <v>16013.880094310469</v>
      </c>
      <c r="AP27" s="61">
        <v>-1.7955034276444017</v>
      </c>
      <c r="AQ27" s="124"/>
      <c r="AR27" s="43">
        <v>70</v>
      </c>
    </row>
    <row r="28" spans="1:44" ht="15.75">
      <c r="A28" s="42">
        <f t="shared" si="30"/>
        <v>1.1111111111111111E-11</v>
      </c>
      <c r="B28" s="43">
        <v>80</v>
      </c>
      <c r="C28" s="44">
        <f t="shared" si="19"/>
        <v>7.407407407407407E-14</v>
      </c>
      <c r="D28" s="44"/>
      <c r="E28" s="18">
        <v>0.144</v>
      </c>
      <c r="F28" s="18"/>
      <c r="G28" s="18">
        <v>1</v>
      </c>
      <c r="H28" s="18">
        <v>273</v>
      </c>
      <c r="I28" s="18">
        <f t="shared" si="20"/>
        <v>0.15376045607366454</v>
      </c>
      <c r="J28" s="18"/>
      <c r="K28" s="18">
        <v>0.24</v>
      </c>
      <c r="L28" s="18">
        <v>0.6</v>
      </c>
      <c r="M28" s="45">
        <f aca="true" t="shared" si="34" ref="M28:M34">I28*K28*L28</f>
        <v>0.02214150567460769</v>
      </c>
      <c r="N28" s="18">
        <f aca="true" t="shared" si="35" ref="N28:N34">I28/1.00444</f>
        <v>0.15308077742191126</v>
      </c>
      <c r="O28" s="46">
        <f aca="true" t="shared" si="36" ref="O28:O34">N28*K28*L28</f>
        <v>0.022043631948755218</v>
      </c>
      <c r="P28" s="18">
        <f t="shared" si="24"/>
        <v>0.010793359286073027</v>
      </c>
      <c r="Q28" s="18">
        <f t="shared" si="25"/>
        <v>4.3065371024734985E-05</v>
      </c>
      <c r="R28" s="18">
        <f t="shared" si="31"/>
        <v>1.6364840989399294E-08</v>
      </c>
      <c r="S28" s="18">
        <f t="shared" si="26"/>
        <v>0.011024215918636504</v>
      </c>
      <c r="T28" s="29">
        <f t="shared" si="27"/>
        <v>-18.696685326659136</v>
      </c>
      <c r="U28" s="112">
        <f aca="true" t="shared" si="37" ref="U28:U34">Q$19*(S$19-1.0044*M$19-4.4)/(T28-4.4-1.0044*M$19)</f>
        <v>1053.9840711224624</v>
      </c>
      <c r="V28" s="113">
        <f t="shared" si="32"/>
        <v>-2.9771659525730847</v>
      </c>
      <c r="W28" s="105">
        <v>80</v>
      </c>
      <c r="X28" s="109">
        <f t="shared" si="29"/>
        <v>1063.6181109561844</v>
      </c>
      <c r="Y28" s="28">
        <f t="shared" si="33"/>
        <v>-2.9732142762470453</v>
      </c>
      <c r="Z28" s="43"/>
      <c r="AA28" s="43"/>
      <c r="AB28" s="43"/>
      <c r="AC28" s="43"/>
      <c r="AF28" s="53">
        <v>-21.614854783219005</v>
      </c>
      <c r="AG28" s="109">
        <v>2089.0452773904617</v>
      </c>
      <c r="AH28" s="28">
        <v>-2.680052147139013</v>
      </c>
      <c r="AI28" s="45">
        <f t="shared" si="12"/>
        <v>0.0004786875664318556</v>
      </c>
      <c r="AJ28" s="29">
        <v>-23.93310577832919</v>
      </c>
      <c r="AK28" s="48">
        <v>8925.226386952305</v>
      </c>
      <c r="AL28" s="49">
        <v>-2.049380759265379</v>
      </c>
      <c r="AM28" s="45">
        <f t="shared" si="13"/>
        <v>0.0001120419759281278</v>
      </c>
      <c r="AN28" s="59">
        <v>-24.279604228962135</v>
      </c>
      <c r="AO28" s="60">
        <v>17470.45277390461</v>
      </c>
      <c r="AP28" s="61">
        <v>-1.7576958394555224</v>
      </c>
      <c r="AQ28" s="124"/>
      <c r="AR28" s="43">
        <v>80</v>
      </c>
    </row>
    <row r="29" spans="1:44" ht="15.75">
      <c r="A29" s="42">
        <f t="shared" si="30"/>
        <v>1.1111111111111111E-11</v>
      </c>
      <c r="B29" s="43">
        <v>90</v>
      </c>
      <c r="C29" s="44">
        <f t="shared" si="19"/>
        <v>7.407407407407407E-14</v>
      </c>
      <c r="D29" s="44"/>
      <c r="E29" s="18">
        <v>0.144</v>
      </c>
      <c r="F29" s="18"/>
      <c r="G29" s="18">
        <v>1</v>
      </c>
      <c r="H29" s="18">
        <v>273</v>
      </c>
      <c r="I29" s="18">
        <f t="shared" si="20"/>
        <v>0.15376045607366454</v>
      </c>
      <c r="J29" s="18"/>
      <c r="K29" s="18">
        <v>0.24</v>
      </c>
      <c r="L29" s="18">
        <v>0.6</v>
      </c>
      <c r="M29" s="45">
        <f t="shared" si="34"/>
        <v>0.02214150567460769</v>
      </c>
      <c r="N29" s="18">
        <f t="shared" si="35"/>
        <v>0.15308077742191126</v>
      </c>
      <c r="O29" s="46">
        <f t="shared" si="36"/>
        <v>0.022043631948755218</v>
      </c>
      <c r="P29" s="18">
        <f t="shared" si="24"/>
        <v>0.010793359286073027</v>
      </c>
      <c r="Q29" s="18">
        <f t="shared" si="25"/>
        <v>4.3065371024734985E-05</v>
      </c>
      <c r="R29" s="18">
        <f t="shared" si="31"/>
        <v>1.6364840989399294E-08</v>
      </c>
      <c r="S29" s="18">
        <f t="shared" si="26"/>
        <v>0.011024215918636504</v>
      </c>
      <c r="T29" s="29">
        <f t="shared" si="27"/>
        <v>-18.96613736512631</v>
      </c>
      <c r="U29" s="112">
        <f t="shared" si="37"/>
        <v>1103.2767897381946</v>
      </c>
      <c r="V29" s="113">
        <f t="shared" si="32"/>
        <v>-2.9573155182254673</v>
      </c>
      <c r="W29" s="105">
        <v>90</v>
      </c>
      <c r="X29" s="109">
        <f t="shared" si="29"/>
        <v>1114.112630515448</v>
      </c>
      <c r="Y29" s="28">
        <f t="shared" si="33"/>
        <v>-2.9530709022154644</v>
      </c>
      <c r="Z29" s="43"/>
      <c r="AA29" s="43"/>
      <c r="AB29" s="43"/>
      <c r="AC29" s="43"/>
      <c r="AF29" s="53">
        <v>-21.787332030051232</v>
      </c>
      <c r="AG29" s="109">
        <v>2215.2815762886203</v>
      </c>
      <c r="AH29" s="28">
        <v>-2.654571064359049</v>
      </c>
      <c r="AI29" s="45">
        <f t="shared" si="12"/>
        <v>0.00045140988427997265</v>
      </c>
      <c r="AJ29" s="29">
        <v>-23.979894686506185</v>
      </c>
      <c r="AK29" s="48">
        <v>9556.407881443101</v>
      </c>
      <c r="AL29" s="49">
        <v>-2.0197053222039045</v>
      </c>
      <c r="AM29" s="45">
        <f t="shared" si="13"/>
        <v>0.00010464182906443617</v>
      </c>
      <c r="AN29" s="59">
        <v>-24.303992239032567</v>
      </c>
      <c r="AO29" s="60">
        <v>18732.815762886203</v>
      </c>
      <c r="AP29" s="61">
        <v>-1.7273969381414036</v>
      </c>
      <c r="AQ29" s="124"/>
      <c r="AR29" s="43">
        <v>90</v>
      </c>
    </row>
    <row r="30" spans="1:44" ht="15.75">
      <c r="A30" s="42">
        <f t="shared" si="30"/>
        <v>1.1111111111111111E-11</v>
      </c>
      <c r="B30" s="43">
        <v>100</v>
      </c>
      <c r="C30" s="44">
        <f t="shared" si="19"/>
        <v>7.407407407407407E-14</v>
      </c>
      <c r="D30" s="44"/>
      <c r="E30" s="18">
        <v>0.144</v>
      </c>
      <c r="F30" s="18"/>
      <c r="G30" s="18">
        <v>1</v>
      </c>
      <c r="H30" s="18">
        <v>273</v>
      </c>
      <c r="I30" s="18">
        <f t="shared" si="20"/>
        <v>0.15376045607366454</v>
      </c>
      <c r="J30" s="18"/>
      <c r="K30" s="18">
        <v>0.24</v>
      </c>
      <c r="L30" s="18">
        <v>0.6</v>
      </c>
      <c r="M30" s="45">
        <f t="shared" si="34"/>
        <v>0.02214150567460769</v>
      </c>
      <c r="N30" s="18">
        <f t="shared" si="35"/>
        <v>0.15308077742191126</v>
      </c>
      <c r="O30" s="46">
        <f t="shared" si="36"/>
        <v>0.022043631948755218</v>
      </c>
      <c r="P30" s="18">
        <f t="shared" si="24"/>
        <v>0.010793359286073027</v>
      </c>
      <c r="Q30" s="18">
        <f t="shared" si="25"/>
        <v>4.3065371024734985E-05</v>
      </c>
      <c r="R30" s="18">
        <f t="shared" si="31"/>
        <v>1.6364840989399294E-08</v>
      </c>
      <c r="S30" s="18">
        <f t="shared" si="26"/>
        <v>0.011024215918636504</v>
      </c>
      <c r="T30" s="29">
        <f t="shared" si="27"/>
        <v>-19.17576154930345</v>
      </c>
      <c r="U30" s="112">
        <f t="shared" si="37"/>
        <v>1144.9338910793592</v>
      </c>
      <c r="V30" s="113">
        <f t="shared" si="32"/>
        <v>-2.941219588929602</v>
      </c>
      <c r="W30" s="105">
        <v>100</v>
      </c>
      <c r="X30" s="109">
        <f t="shared" si="29"/>
        <v>1156.8387624502097</v>
      </c>
      <c r="Y30" s="28">
        <f t="shared" si="33"/>
        <v>-2.9367271678052562</v>
      </c>
      <c r="Z30" s="43"/>
      <c r="AA30" s="43"/>
      <c r="AB30" s="43"/>
      <c r="AC30" s="43"/>
      <c r="AF30" s="53">
        <v>-21.91862672868816</v>
      </c>
      <c r="AG30" s="109">
        <v>2322.0969061255246</v>
      </c>
      <c r="AH30" s="28">
        <v>-2.6341196601713466</v>
      </c>
      <c r="AI30" s="45">
        <f t="shared" si="12"/>
        <v>0.0004306452488533412</v>
      </c>
      <c r="AJ30" s="29">
        <v>-24.01491330982686</v>
      </c>
      <c r="AK30" s="48">
        <v>10090.48453062762</v>
      </c>
      <c r="AL30" s="49">
        <v>-1.9960879790628359</v>
      </c>
      <c r="AM30" s="45">
        <f t="shared" si="13"/>
        <v>9.910326872457938E-05</v>
      </c>
      <c r="AN30" s="59">
        <v>-24.322199440937943</v>
      </c>
      <c r="AO30" s="60">
        <v>19800.96906125524</v>
      </c>
      <c r="AP30" s="61">
        <v>-1.7033135548062872</v>
      </c>
      <c r="AQ30" s="124"/>
      <c r="AR30" s="43">
        <v>100</v>
      </c>
    </row>
    <row r="31" spans="1:44" ht="15.75">
      <c r="A31" s="42">
        <f t="shared" si="30"/>
        <v>1.1111111111111111E-11</v>
      </c>
      <c r="B31" s="43">
        <v>110</v>
      </c>
      <c r="C31" s="44">
        <f t="shared" si="19"/>
        <v>7.407407407407407E-14</v>
      </c>
      <c r="D31" s="44"/>
      <c r="E31" s="18">
        <v>0.144</v>
      </c>
      <c r="F31" s="18"/>
      <c r="G31" s="18">
        <v>1</v>
      </c>
      <c r="H31" s="18">
        <v>273</v>
      </c>
      <c r="I31" s="18">
        <f t="shared" si="20"/>
        <v>0.15376045607366454</v>
      </c>
      <c r="J31" s="18"/>
      <c r="K31" s="18">
        <v>0.24</v>
      </c>
      <c r="L31" s="18">
        <v>0.6</v>
      </c>
      <c r="M31" s="45">
        <f t="shared" si="34"/>
        <v>0.02214150567460769</v>
      </c>
      <c r="N31" s="18">
        <f t="shared" si="35"/>
        <v>0.15308077742191126</v>
      </c>
      <c r="O31" s="46">
        <f t="shared" si="36"/>
        <v>0.022043631948755218</v>
      </c>
      <c r="P31" s="18">
        <f t="shared" si="24"/>
        <v>0.010793359286073027</v>
      </c>
      <c r="Q31" s="18">
        <f t="shared" si="25"/>
        <v>4.3065371024734985E-05</v>
      </c>
      <c r="R31" s="18">
        <f t="shared" si="31"/>
        <v>1.6364840989399294E-08</v>
      </c>
      <c r="S31" s="18">
        <f t="shared" si="26"/>
        <v>0.011024215918636504</v>
      </c>
      <c r="T31" s="29">
        <f t="shared" si="27"/>
        <v>-19.336092147738015</v>
      </c>
      <c r="U31" s="112">
        <f t="shared" si="37"/>
        <v>1178.9814972323857</v>
      </c>
      <c r="V31" s="113">
        <f t="shared" si="32"/>
        <v>-2.9284930106071414</v>
      </c>
      <c r="W31" s="105">
        <v>110</v>
      </c>
      <c r="X31" s="109">
        <f t="shared" si="29"/>
        <v>1191.7965067604691</v>
      </c>
      <c r="Y31" s="28">
        <f t="shared" si="33"/>
        <v>-2.9237978918570917</v>
      </c>
      <c r="Z31" s="43"/>
      <c r="AA31" s="43"/>
      <c r="AB31" s="43"/>
      <c r="AC31" s="43"/>
      <c r="AF31" s="53">
        <v>-22.017390913512735</v>
      </c>
      <c r="AG31" s="109">
        <v>2409.491266901173</v>
      </c>
      <c r="AH31" s="28">
        <v>-2.6180746434418363</v>
      </c>
      <c r="AI31" s="45">
        <f t="shared" si="12"/>
        <v>0.000415025368108552</v>
      </c>
      <c r="AJ31" s="29">
        <v>-24.040922080627247</v>
      </c>
      <c r="AK31" s="48">
        <v>10527.456334505863</v>
      </c>
      <c r="AL31" s="49">
        <v>-1.9776765512586811</v>
      </c>
      <c r="AM31" s="45">
        <f t="shared" si="13"/>
        <v>9.498970769627405E-05</v>
      </c>
      <c r="AN31" s="59">
        <v>-24.33569690741788</v>
      </c>
      <c r="AO31" s="60">
        <v>20674.912669011726</v>
      </c>
      <c r="AP31" s="61">
        <v>-1.6845563162347341</v>
      </c>
      <c r="AQ31" s="124"/>
      <c r="AR31" s="43">
        <v>110</v>
      </c>
    </row>
    <row r="32" spans="1:44" ht="15.75">
      <c r="A32" s="42">
        <f t="shared" si="30"/>
        <v>1.1111111111111111E-11</v>
      </c>
      <c r="B32" s="43">
        <v>120</v>
      </c>
      <c r="C32" s="44">
        <f t="shared" si="19"/>
        <v>7.407407407407407E-14</v>
      </c>
      <c r="D32" s="44"/>
      <c r="E32" s="18">
        <v>0.144</v>
      </c>
      <c r="F32" s="18"/>
      <c r="G32" s="18">
        <v>1</v>
      </c>
      <c r="H32" s="18">
        <v>273</v>
      </c>
      <c r="I32" s="18">
        <f t="shared" si="20"/>
        <v>0.15376045607366454</v>
      </c>
      <c r="J32" s="18"/>
      <c r="K32" s="18">
        <v>0.24</v>
      </c>
      <c r="L32" s="18">
        <v>0.6</v>
      </c>
      <c r="M32" s="45">
        <f t="shared" si="34"/>
        <v>0.02214150567460769</v>
      </c>
      <c r="N32" s="18">
        <f t="shared" si="35"/>
        <v>0.15308077742191126</v>
      </c>
      <c r="O32" s="46">
        <f t="shared" si="36"/>
        <v>0.022043631948755218</v>
      </c>
      <c r="P32" s="18">
        <f t="shared" si="24"/>
        <v>0.010793359286073027</v>
      </c>
      <c r="Q32" s="18">
        <f t="shared" si="25"/>
        <v>4.3065371024734985E-05</v>
      </c>
      <c r="R32" s="18">
        <f t="shared" si="31"/>
        <v>1.6364840989399294E-08</v>
      </c>
      <c r="S32" s="18">
        <f t="shared" si="26"/>
        <v>0.011024215918636504</v>
      </c>
      <c r="T32" s="29">
        <f t="shared" si="27"/>
        <v>-19.454435743845757</v>
      </c>
      <c r="U32" s="112">
        <f t="shared" si="37"/>
        <v>1205.4409252625542</v>
      </c>
      <c r="V32" s="113">
        <f t="shared" si="32"/>
        <v>-2.9188540681244675</v>
      </c>
      <c r="W32" s="105">
        <v>120</v>
      </c>
      <c r="X32" s="109">
        <f t="shared" si="29"/>
        <v>1218.9858634462262</v>
      </c>
      <c r="Y32" s="28">
        <f t="shared" si="33"/>
        <v>-2.9140013308565127</v>
      </c>
      <c r="Z32" s="43"/>
      <c r="AA32" s="43"/>
      <c r="AB32" s="43"/>
      <c r="AC32" s="43"/>
      <c r="AF32" s="53">
        <v>-22.089390012516084</v>
      </c>
      <c r="AG32" s="109">
        <v>2477.4646586155663</v>
      </c>
      <c r="AH32" s="28">
        <v>-2.605992532070827</v>
      </c>
      <c r="AI32" s="45">
        <f t="shared" si="12"/>
        <v>0.0004036384521258162</v>
      </c>
      <c r="AJ32" s="29">
        <v>-24.05970506406996</v>
      </c>
      <c r="AK32" s="48">
        <v>10867.323293077829</v>
      </c>
      <c r="AL32" s="49">
        <v>-1.9638774128776493</v>
      </c>
      <c r="AM32" s="45">
        <f t="shared" si="13"/>
        <v>9.201897956205755E-05</v>
      </c>
      <c r="AN32" s="59">
        <v>-24.34543114031684</v>
      </c>
      <c r="AO32" s="60">
        <v>21354.646586155657</v>
      </c>
      <c r="AP32" s="61">
        <v>-1.670507611638351</v>
      </c>
      <c r="AQ32" s="124"/>
      <c r="AR32" s="43">
        <v>120</v>
      </c>
    </row>
    <row r="33" spans="1:44" ht="15.75">
      <c r="A33" s="42">
        <f t="shared" si="30"/>
        <v>1.1111111111111111E-11</v>
      </c>
      <c r="B33" s="43">
        <v>130</v>
      </c>
      <c r="C33" s="44">
        <f t="shared" si="19"/>
        <v>7.407407407407407E-14</v>
      </c>
      <c r="D33" s="44"/>
      <c r="E33" s="18">
        <v>0.144</v>
      </c>
      <c r="F33" s="18"/>
      <c r="G33" s="18">
        <v>1</v>
      </c>
      <c r="H33" s="18">
        <v>273</v>
      </c>
      <c r="I33" s="18">
        <f t="shared" si="20"/>
        <v>0.15376045607366454</v>
      </c>
      <c r="J33" s="18"/>
      <c r="K33" s="18">
        <v>0.24</v>
      </c>
      <c r="L33" s="18">
        <v>0.6</v>
      </c>
      <c r="M33" s="45">
        <f t="shared" si="34"/>
        <v>0.02214150567460769</v>
      </c>
      <c r="N33" s="18">
        <f t="shared" si="35"/>
        <v>0.15308077742191126</v>
      </c>
      <c r="O33" s="46">
        <f t="shared" si="36"/>
        <v>0.022043631948755218</v>
      </c>
      <c r="P33" s="18">
        <f t="shared" si="24"/>
        <v>0.010793359286073027</v>
      </c>
      <c r="Q33" s="18">
        <f t="shared" si="25"/>
        <v>4.3065371024734985E-05</v>
      </c>
      <c r="R33" s="18">
        <f t="shared" si="31"/>
        <v>1.6364840989399294E-08</v>
      </c>
      <c r="S33" s="18">
        <f t="shared" si="26"/>
        <v>0.011024215918636504</v>
      </c>
      <c r="T33" s="29">
        <f t="shared" si="27"/>
        <v>-19.535785177013487</v>
      </c>
      <c r="U33" s="112">
        <f t="shared" si="37"/>
        <v>1224.3287206348255</v>
      </c>
      <c r="V33" s="113">
        <f t="shared" si="32"/>
        <v>-2.9121019625899547</v>
      </c>
      <c r="W33" s="105">
        <v>130</v>
      </c>
      <c r="X33" s="109">
        <f t="shared" si="29"/>
        <v>1238.4068325074818</v>
      </c>
      <c r="Y33" s="28">
        <f t="shared" si="33"/>
        <v>-2.9071366605758215</v>
      </c>
      <c r="Z33" s="43"/>
      <c r="AA33" s="43"/>
      <c r="AB33" s="43"/>
      <c r="AC33" s="43"/>
      <c r="AF33" s="53">
        <v>-22.138445490898718</v>
      </c>
      <c r="AG33" s="109">
        <v>2526.0170812687043</v>
      </c>
      <c r="AH33" s="28">
        <v>-2.59756371701281</v>
      </c>
      <c r="AI33" s="45">
        <f t="shared" si="12"/>
        <v>0.000395880141672576</v>
      </c>
      <c r="AJ33" s="29">
        <v>-24.072417899915543</v>
      </c>
      <c r="AK33" s="48">
        <v>11110.08540634352</v>
      </c>
      <c r="AL33" s="49">
        <v>-1.9542826025027737</v>
      </c>
      <c r="AM33" s="45">
        <f t="shared" si="13"/>
        <v>9.000830897564753E-05</v>
      </c>
      <c r="AN33" s="59">
        <v>-24.35201319174829</v>
      </c>
      <c r="AO33" s="60">
        <v>21840.17081268704</v>
      </c>
      <c r="AP33" s="61">
        <v>-1.6607439693227342</v>
      </c>
      <c r="AQ33" s="124"/>
      <c r="AR33" s="43">
        <v>130</v>
      </c>
    </row>
    <row r="34" spans="1:44" ht="15.75">
      <c r="A34" s="42">
        <f t="shared" si="30"/>
        <v>1.1111111111111111E-11</v>
      </c>
      <c r="B34" s="43">
        <v>140</v>
      </c>
      <c r="C34" s="44">
        <f t="shared" si="19"/>
        <v>7.407407407407407E-14</v>
      </c>
      <c r="D34" s="44"/>
      <c r="E34" s="18">
        <v>0.144</v>
      </c>
      <c r="F34" s="18"/>
      <c r="G34" s="18">
        <v>1</v>
      </c>
      <c r="H34" s="18">
        <v>273</v>
      </c>
      <c r="I34" s="18">
        <f t="shared" si="20"/>
        <v>0.15376045607366454</v>
      </c>
      <c r="J34" s="18"/>
      <c r="K34" s="18">
        <v>0.24</v>
      </c>
      <c r="L34" s="18">
        <v>0.6</v>
      </c>
      <c r="M34" s="45">
        <f t="shared" si="34"/>
        <v>0.02214150567460769</v>
      </c>
      <c r="N34" s="18">
        <f t="shared" si="35"/>
        <v>0.15308077742191126</v>
      </c>
      <c r="O34" s="46">
        <f t="shared" si="36"/>
        <v>0.022043631948755218</v>
      </c>
      <c r="P34" s="18">
        <f t="shared" si="24"/>
        <v>0.010793359286073027</v>
      </c>
      <c r="Q34" s="18">
        <f t="shared" si="25"/>
        <v>4.3065371024734985E-05</v>
      </c>
      <c r="R34" s="18">
        <f t="shared" si="31"/>
        <v>1.6364840989399294E-08</v>
      </c>
      <c r="S34" s="18">
        <f t="shared" si="26"/>
        <v>0.011024215918636504</v>
      </c>
      <c r="T34" s="29">
        <f t="shared" si="27"/>
        <v>-19.5833814748243</v>
      </c>
      <c r="U34" s="112">
        <f t="shared" si="37"/>
        <v>1235.656683107741</v>
      </c>
      <c r="V34" s="113">
        <f t="shared" si="32"/>
        <v>-2.908102177583058</v>
      </c>
      <c r="W34" s="105">
        <v>140</v>
      </c>
      <c r="X34" s="109">
        <f t="shared" si="29"/>
        <v>1250.0594139442346</v>
      </c>
      <c r="Y34" s="28">
        <f t="shared" si="33"/>
        <v>-2.903069344964006</v>
      </c>
      <c r="Z34" s="43"/>
      <c r="AA34" s="43"/>
      <c r="AB34" s="43"/>
      <c r="AC34" s="43"/>
      <c r="AF34" s="53">
        <v>-22.166983896599323</v>
      </c>
      <c r="AG34" s="109">
        <v>2555.1485348605875</v>
      </c>
      <c r="AH34" s="28">
        <v>-2.5925838485643706</v>
      </c>
      <c r="AI34" s="45">
        <f t="shared" si="12"/>
        <v>0.0003913666803932251</v>
      </c>
      <c r="AJ34" s="29">
        <v>-24.079782378845227</v>
      </c>
      <c r="AK34" s="48">
        <v>11255.742674302934</v>
      </c>
      <c r="AL34" s="49">
        <v>-1.9486258441809632</v>
      </c>
      <c r="AM34" s="45">
        <f t="shared" si="13"/>
        <v>8.884353782207717E-05</v>
      </c>
      <c r="AN34" s="59">
        <v>-24.355823799947828</v>
      </c>
      <c r="AO34" s="60">
        <v>22131.485348605867</v>
      </c>
      <c r="AP34" s="61">
        <v>-1.654989437538824</v>
      </c>
      <c r="AQ34" s="124"/>
      <c r="AR34" s="43">
        <v>140</v>
      </c>
    </row>
    <row r="35" spans="1:44" ht="15.75">
      <c r="A35" s="42">
        <f t="shared" si="30"/>
        <v>1.1111111111111111E-11</v>
      </c>
      <c r="B35" s="43">
        <v>150</v>
      </c>
      <c r="C35" s="44">
        <f t="shared" si="19"/>
        <v>7.407407407407407E-14</v>
      </c>
      <c r="D35" s="44"/>
      <c r="E35" s="18">
        <v>0.144</v>
      </c>
      <c r="F35" s="18"/>
      <c r="G35" s="18">
        <v>1</v>
      </c>
      <c r="H35" s="18">
        <v>273</v>
      </c>
      <c r="I35" s="18">
        <f t="shared" si="20"/>
        <v>0.15376045607366454</v>
      </c>
      <c r="J35" s="18"/>
      <c r="K35" s="18">
        <v>0.24</v>
      </c>
      <c r="L35" s="18">
        <v>0.6</v>
      </c>
      <c r="M35" s="45">
        <f>I35*K35*L35</f>
        <v>0.02214150567460769</v>
      </c>
      <c r="N35" s="18">
        <f>I35/1.00444</f>
        <v>0.15308077742191126</v>
      </c>
      <c r="O35" s="46">
        <f>N35*K35*L35</f>
        <v>0.022043631948755218</v>
      </c>
      <c r="P35" s="18">
        <f t="shared" si="24"/>
        <v>0.010793359286073027</v>
      </c>
      <c r="Q35" s="18">
        <f t="shared" si="25"/>
        <v>4.3065371024734985E-05</v>
      </c>
      <c r="R35" s="18">
        <f t="shared" si="31"/>
        <v>1.6364840989399294E-08</v>
      </c>
      <c r="S35" s="18">
        <f t="shared" si="26"/>
        <v>0.011024215918636504</v>
      </c>
      <c r="T35" s="29">
        <f t="shared" si="27"/>
        <v>-19.599050318462986</v>
      </c>
      <c r="U35" s="114">
        <f>Q$19*(S$19-1.0044*M$19-4.4)/(T35-4.4-1.0044*M$19)</f>
        <v>1239.431885174792</v>
      </c>
      <c r="V35" s="115">
        <f t="shared" si="32"/>
        <v>-2.9067773355404256</v>
      </c>
      <c r="W35" s="107">
        <v>150</v>
      </c>
      <c r="X35" s="109">
        <f t="shared" si="29"/>
        <v>1253.9436077564858</v>
      </c>
      <c r="Y35" s="106">
        <f t="shared" si="33"/>
        <v>-2.9017219941200327</v>
      </c>
      <c r="Z35" s="43"/>
      <c r="AA35" s="43"/>
      <c r="AB35" s="43"/>
      <c r="AC35" s="43"/>
      <c r="AF35" s="53">
        <v>-22.17635263374418</v>
      </c>
      <c r="AG35" s="109">
        <v>2564.859019391215</v>
      </c>
      <c r="AH35" s="106">
        <v>-2.590936501422781</v>
      </c>
      <c r="AI35" s="45">
        <f t="shared" si="12"/>
        <v>0.00038988497708437647</v>
      </c>
      <c r="AJ35" s="29">
        <v>-24.08219503056419</v>
      </c>
      <c r="AK35" s="48">
        <v>11304.295096956073</v>
      </c>
      <c r="AL35" s="49">
        <v>-1.9467565138181275</v>
      </c>
      <c r="AM35" s="45">
        <f t="shared" si="13"/>
        <v>8.846195109231286E-05</v>
      </c>
      <c r="AN35" s="59">
        <v>-24.357071807259878</v>
      </c>
      <c r="AO35" s="60">
        <v>22228.590193912147</v>
      </c>
      <c r="AP35" s="61">
        <v>-1.6530880807297166</v>
      </c>
      <c r="AQ35" s="124"/>
      <c r="AR35" s="43">
        <v>150</v>
      </c>
    </row>
    <row r="36" spans="35:39" ht="15.75" thickBot="1">
      <c r="AI36" s="45">
        <f t="shared" si="12"/>
        <v>1E-06</v>
      </c>
      <c r="AM36" s="45">
        <f t="shared" si="13"/>
        <v>1E-06</v>
      </c>
    </row>
    <row r="37" spans="17:43" ht="60.75" thickBot="1">
      <c r="Q37" s="86">
        <f>L49</f>
        <v>-23.775275</v>
      </c>
      <c r="R37" s="63">
        <v>50</v>
      </c>
      <c r="T37" s="27" t="s">
        <v>89</v>
      </c>
      <c r="U37" t="s">
        <v>90</v>
      </c>
      <c r="Y37" s="27" t="s">
        <v>89</v>
      </c>
      <c r="Z37" t="s">
        <v>92</v>
      </c>
      <c r="AE37" s="103" t="s">
        <v>85</v>
      </c>
      <c r="AF37" s="11" t="s">
        <v>66</v>
      </c>
      <c r="AG37" s="11"/>
      <c r="AH37" s="11"/>
      <c r="AI37" s="45">
        <f t="shared" si="12"/>
        <v>1E-06</v>
      </c>
      <c r="AL37" s="103" t="s">
        <v>88</v>
      </c>
      <c r="AM37" s="45"/>
      <c r="AN37" s="11" t="s">
        <v>66</v>
      </c>
      <c r="AO37" s="11"/>
      <c r="AP37" s="11"/>
      <c r="AQ37" s="11"/>
    </row>
    <row r="38" spans="1:43" ht="61.5" thickBot="1">
      <c r="A38" s="62"/>
      <c r="B38" s="62"/>
      <c r="C38" s="131" t="s">
        <v>67</v>
      </c>
      <c r="D38" s="132"/>
      <c r="E38" s="132"/>
      <c r="F38" s="132"/>
      <c r="G38" s="132"/>
      <c r="H38" s="63">
        <v>50</v>
      </c>
      <c r="I38" s="64">
        <v>100</v>
      </c>
      <c r="J38" s="127"/>
      <c r="K38" s="65">
        <v>150</v>
      </c>
      <c r="Q38" s="87">
        <f>M49</f>
        <v>-24.110719999999997</v>
      </c>
      <c r="R38" s="64">
        <v>100</v>
      </c>
      <c r="T38" s="2">
        <v>-18.652943530144018</v>
      </c>
      <c r="U38" s="109">
        <v>1055.8497233316825</v>
      </c>
      <c r="V38" s="28">
        <v>-2.9763978895408902</v>
      </c>
      <c r="W38" s="43">
        <v>10</v>
      </c>
      <c r="Y38" s="2">
        <v>-14.918458810187163</v>
      </c>
      <c r="Z38" s="109">
        <v>650.339889332673</v>
      </c>
      <c r="AA38" s="28">
        <v>-3.1868596072318818</v>
      </c>
      <c r="AB38" s="43">
        <v>10</v>
      </c>
      <c r="AF38" s="50" t="s">
        <v>63</v>
      </c>
      <c r="AG38" s="51" t="s">
        <v>64</v>
      </c>
      <c r="AH38" s="52" t="s">
        <v>62</v>
      </c>
      <c r="AI38" s="45" t="e">
        <f t="shared" si="12"/>
        <v>#VALUE!</v>
      </c>
      <c r="AM38" s="45"/>
      <c r="AN38" s="50" t="s">
        <v>63</v>
      </c>
      <c r="AO38" s="51" t="s">
        <v>64</v>
      </c>
      <c r="AP38" s="52" t="s">
        <v>62</v>
      </c>
      <c r="AQ38" s="122"/>
    </row>
    <row r="39" spans="1:44" ht="15.75">
      <c r="A39" s="62"/>
      <c r="B39" s="62"/>
      <c r="C39" s="66" t="s">
        <v>68</v>
      </c>
      <c r="D39" s="125"/>
      <c r="E39" s="67" t="s">
        <v>69</v>
      </c>
      <c r="F39" s="68"/>
      <c r="G39" s="68" t="s">
        <v>70</v>
      </c>
      <c r="H39" s="69" t="s">
        <v>0</v>
      </c>
      <c r="I39" s="70" t="s">
        <v>0</v>
      </c>
      <c r="J39" s="128"/>
      <c r="K39" s="71" t="s">
        <v>0</v>
      </c>
      <c r="Q39" s="88">
        <v>-24.913755</v>
      </c>
      <c r="R39" s="65">
        <v>150</v>
      </c>
      <c r="T39" s="2">
        <v>-20.889263285083224</v>
      </c>
      <c r="U39" s="109">
        <v>1685.0891209163524</v>
      </c>
      <c r="V39" s="28">
        <v>-2.7733771252385364</v>
      </c>
      <c r="W39" s="43">
        <v>20</v>
      </c>
      <c r="Y39" s="2">
        <v>-17.63170082019694</v>
      </c>
      <c r="Z39" s="109">
        <v>902.0356483665408</v>
      </c>
      <c r="AA39" s="28">
        <v>-3.0447762988405946</v>
      </c>
      <c r="AB39" s="43">
        <v>20</v>
      </c>
      <c r="AF39" s="53">
        <v>-8.455933176795604</v>
      </c>
      <c r="AG39" s="54">
        <v>661.604051388201</v>
      </c>
      <c r="AH39" s="49">
        <v>-3.1794018440084835</v>
      </c>
      <c r="AI39" s="45">
        <f t="shared" si="12"/>
        <v>0.0015114780477866864</v>
      </c>
      <c r="AJ39" s="43">
        <v>10</v>
      </c>
      <c r="AM39" s="45"/>
      <c r="AN39" s="53">
        <v>-14.528062515068996</v>
      </c>
      <c r="AO39" s="54">
        <v>661.604051388201</v>
      </c>
      <c r="AP39" s="49">
        <v>-3.1794018440084835</v>
      </c>
      <c r="AQ39" s="28"/>
      <c r="AR39" s="43">
        <v>10</v>
      </c>
    </row>
    <row r="40" spans="1:44" ht="16.5" thickBot="1">
      <c r="A40" s="62"/>
      <c r="B40" s="62"/>
      <c r="C40" s="72" t="s">
        <v>71</v>
      </c>
      <c r="D40" s="126"/>
      <c r="E40" s="73" t="s">
        <v>71</v>
      </c>
      <c r="F40" s="74"/>
      <c r="G40" s="74" t="s">
        <v>71</v>
      </c>
      <c r="H40" s="75" t="s">
        <v>72</v>
      </c>
      <c r="I40" s="76" t="s">
        <v>72</v>
      </c>
      <c r="J40" s="129"/>
      <c r="K40" s="77" t="s">
        <v>72</v>
      </c>
      <c r="T40" s="2">
        <v>-21.85333140706891</v>
      </c>
      <c r="U40" s="109">
        <v>2267.7181927540096</v>
      </c>
      <c r="V40" s="28">
        <v>-2.644410915800321</v>
      </c>
      <c r="W40" s="43">
        <v>30</v>
      </c>
      <c r="Y40" s="2">
        <v>-19.071015883174947</v>
      </c>
      <c r="Z40" s="109">
        <v>1135.0872771016038</v>
      </c>
      <c r="AA40" s="28">
        <v>-2.944970744192124</v>
      </c>
      <c r="AB40" s="43">
        <v>30</v>
      </c>
      <c r="AF40" s="53">
        <v>-8.630545787614242</v>
      </c>
      <c r="AG40" s="54">
        <v>923.7871337151469</v>
      </c>
      <c r="AH40" s="49">
        <v>-3.034428090796364</v>
      </c>
      <c r="AI40" s="45">
        <f t="shared" si="12"/>
        <v>0.0010825004630432044</v>
      </c>
      <c r="AJ40" s="43">
        <v>20</v>
      </c>
      <c r="AM40" s="45"/>
      <c r="AN40" s="53">
        <v>-17.027936885748662</v>
      </c>
      <c r="AO40" s="54">
        <v>923.7871337151469</v>
      </c>
      <c r="AP40" s="49">
        <v>-3.034428090796364</v>
      </c>
      <c r="AQ40" s="28"/>
      <c r="AR40" s="43">
        <v>20</v>
      </c>
    </row>
    <row r="41" spans="1:44" ht="15.75">
      <c r="A41" s="78">
        <v>38795</v>
      </c>
      <c r="B41" s="62"/>
      <c r="C41" s="79"/>
      <c r="D41" s="80"/>
      <c r="E41" s="80"/>
      <c r="F41" s="80"/>
      <c r="G41" s="80"/>
      <c r="H41" s="80"/>
      <c r="I41" s="80"/>
      <c r="J41" s="80"/>
      <c r="K41" s="80"/>
      <c r="L41" s="81"/>
      <c r="M41" s="82"/>
      <c r="Q41" s="88">
        <f>N49</f>
        <v>-24.913755</v>
      </c>
      <c r="R41" s="65">
        <v>150</v>
      </c>
      <c r="T41" s="2">
        <v>-22.38638875535004</v>
      </c>
      <c r="U41" s="109">
        <v>2803.7369388446546</v>
      </c>
      <c r="V41" s="28">
        <v>-2.552262736556869</v>
      </c>
      <c r="W41" s="43">
        <v>40</v>
      </c>
      <c r="Y41" s="2">
        <v>-19.956100864977454</v>
      </c>
      <c r="Z41" s="109">
        <v>1349.4947755378616</v>
      </c>
      <c r="AA41" s="28">
        <v>-2.8698287924408987</v>
      </c>
      <c r="AB41" s="43">
        <v>40</v>
      </c>
      <c r="AF41" s="53">
        <v>-8.72224078522188</v>
      </c>
      <c r="AG41" s="54">
        <v>1166.5492469808373</v>
      </c>
      <c r="AH41" s="49">
        <v>-2.9330969223305194</v>
      </c>
      <c r="AI41" s="45">
        <f t="shared" si="12"/>
        <v>0.0008572291333504479</v>
      </c>
      <c r="AJ41" s="43">
        <v>30</v>
      </c>
      <c r="AM41" s="45"/>
      <c r="AN41" s="53">
        <v>-18.340653869797997</v>
      </c>
      <c r="AO41" s="54">
        <v>1166.5492469808373</v>
      </c>
      <c r="AP41" s="49">
        <v>-2.9330969223305194</v>
      </c>
      <c r="AQ41" s="28"/>
      <c r="AR41" s="43">
        <v>30</v>
      </c>
    </row>
    <row r="42" spans="1:44" ht="16.5" thickBot="1">
      <c r="A42" s="78">
        <v>38827</v>
      </c>
      <c r="B42" s="83">
        <v>52</v>
      </c>
      <c r="C42" s="84">
        <v>2635.5568979800955</v>
      </c>
      <c r="D42" s="130">
        <f>1/C42</f>
        <v>0.00037942645092064044</v>
      </c>
      <c r="E42" s="85">
        <f>LOG(C42/10^6)</f>
        <v>-2.5791276035385504</v>
      </c>
      <c r="F42" s="130">
        <f>1/(10^E42*1000000)</f>
        <v>0.00037942645092064054</v>
      </c>
      <c r="G42" s="85">
        <v>2635.5568979800955</v>
      </c>
      <c r="H42" s="85">
        <f>LOG(G42/10^6)</f>
        <v>-2.5791276035385504</v>
      </c>
      <c r="I42" s="85">
        <v>2864.735758674017</v>
      </c>
      <c r="J42" s="130">
        <f>1/I42</f>
        <v>0.0003490723348469892</v>
      </c>
      <c r="K42" s="85">
        <f>LOG(I42/10^6)</f>
        <v>-2.5429154308841055</v>
      </c>
      <c r="L42" s="86">
        <v>-21.457655</v>
      </c>
      <c r="M42" s="87">
        <v>-21.85409</v>
      </c>
      <c r="N42" s="88">
        <v>-22.07772</v>
      </c>
      <c r="T42" s="2">
        <v>-22.721538880304593</v>
      </c>
      <c r="U42" s="109">
        <v>3293.1453591882864</v>
      </c>
      <c r="V42" s="28">
        <v>-2.482389099139262</v>
      </c>
      <c r="W42" s="43">
        <v>50</v>
      </c>
      <c r="Y42" s="2">
        <v>-20.549705806350737</v>
      </c>
      <c r="Z42" s="109">
        <v>1545.2581436753144</v>
      </c>
      <c r="AA42" s="28">
        <v>-2.810998958951842</v>
      </c>
      <c r="AB42" s="43">
        <v>50</v>
      </c>
      <c r="AF42" s="53">
        <v>-8.778309953565987</v>
      </c>
      <c r="AG42" s="54">
        <v>1389.8903911852726</v>
      </c>
      <c r="AH42" s="49">
        <v>-2.8570194475015573</v>
      </c>
      <c r="AI42" s="45">
        <f t="shared" si="12"/>
        <v>0.0007194811953100986</v>
      </c>
      <c r="AJ42" s="43">
        <v>40</v>
      </c>
      <c r="AM42" s="45"/>
      <c r="AN42" s="53">
        <v>-19.14332949958397</v>
      </c>
      <c r="AO42" s="54">
        <v>1389.8903911852726</v>
      </c>
      <c r="AP42" s="49">
        <v>-2.8570194475015573</v>
      </c>
      <c r="AQ42" s="28"/>
      <c r="AR42" s="43">
        <v>40</v>
      </c>
    </row>
    <row r="43" spans="1:44" ht="16.5" thickBot="1">
      <c r="A43" s="78">
        <v>38859</v>
      </c>
      <c r="B43" s="83">
        <v>53</v>
      </c>
      <c r="C43" s="84">
        <v>5158.274860513051</v>
      </c>
      <c r="D43" s="130">
        <f aca="true" t="shared" si="38" ref="D43:D73">1/C43</f>
        <v>0.00019386326379291433</v>
      </c>
      <c r="E43" s="85">
        <f>LOG(C43/10^6)</f>
        <v>-2.2874955200453657</v>
      </c>
      <c r="F43" s="130">
        <f aca="true" t="shared" si="39" ref="F43:F73">1/(10^E43*1000000)</f>
        <v>0.00019386326379291447</v>
      </c>
      <c r="G43" s="85">
        <v>3438.8499070087005</v>
      </c>
      <c r="H43" s="85">
        <f aca="true" t="shared" si="40" ref="H43:H73">LOG(G43/10^6)</f>
        <v>-2.463586779101047</v>
      </c>
      <c r="I43" s="85">
        <v>2751.0799256069604</v>
      </c>
      <c r="J43" s="130">
        <f aca="true" t="shared" si="41" ref="J43:J73">1/I43</f>
        <v>0.0003634936196117144</v>
      </c>
      <c r="K43" s="85">
        <f>LOG(I43/10^6)</f>
        <v>-2.5604967921091033</v>
      </c>
      <c r="L43" s="86">
        <v>-22.403</v>
      </c>
      <c r="M43" s="87">
        <v>-22.189534999999996</v>
      </c>
      <c r="N43" s="88">
        <v>-21.904915</v>
      </c>
      <c r="Q43" s="89">
        <v>-20.31</v>
      </c>
      <c r="R43" s="63">
        <v>50</v>
      </c>
      <c r="T43" s="2">
        <v>-22.949105178403318</v>
      </c>
      <c r="U43" s="109">
        <v>3735.943453784906</v>
      </c>
      <c r="V43" s="28">
        <v>-2.42759970575432</v>
      </c>
      <c r="W43" s="43">
        <v>60</v>
      </c>
      <c r="Y43" s="2">
        <v>-20.97050007029333</v>
      </c>
      <c r="Z43" s="109">
        <v>1722.3773815139623</v>
      </c>
      <c r="AA43" s="28">
        <v>-2.7638716863593102</v>
      </c>
      <c r="AB43" s="43">
        <v>60</v>
      </c>
      <c r="AF43" s="53">
        <v>-8.815779764146047</v>
      </c>
      <c r="AG43" s="54">
        <v>1593.8105663284528</v>
      </c>
      <c r="AH43" s="49">
        <v>-2.797563298302002</v>
      </c>
      <c r="AI43" s="45">
        <f t="shared" si="12"/>
        <v>0.00062742713665378</v>
      </c>
      <c r="AJ43" s="43">
        <v>50</v>
      </c>
      <c r="AM43" s="45"/>
      <c r="AN43" s="53">
        <v>-19.679732808810524</v>
      </c>
      <c r="AO43" s="54">
        <v>1593.8105663284528</v>
      </c>
      <c r="AP43" s="49">
        <v>-2.797563298302002</v>
      </c>
      <c r="AQ43" s="28"/>
      <c r="AR43" s="43">
        <v>50</v>
      </c>
    </row>
    <row r="44" spans="1:44" ht="16.5" thickBot="1">
      <c r="A44" s="78">
        <v>38890</v>
      </c>
      <c r="B44" s="83">
        <v>54</v>
      </c>
      <c r="C44" s="84">
        <v>6170.379577314628</v>
      </c>
      <c r="D44" s="130">
        <f t="shared" si="38"/>
        <v>0.0001620645841102702</v>
      </c>
      <c r="E44" s="85">
        <f>LOG(C44/10^6)</f>
        <v>-2.20968811906843</v>
      </c>
      <c r="F44" s="130">
        <f t="shared" si="39"/>
        <v>0.00016206458411027042</v>
      </c>
      <c r="G44" s="85">
        <v>4913.450404157945</v>
      </c>
      <c r="H44" s="85">
        <f t="shared" si="40"/>
        <v>-2.308613423311812</v>
      </c>
      <c r="I44" s="85">
        <v>2970.9235001885245</v>
      </c>
      <c r="J44" s="130">
        <f t="shared" si="41"/>
        <v>0.0003365956746905612</v>
      </c>
      <c r="K44" s="85">
        <f>LOG(I44/10^6)</f>
        <v>-2.5271085309205805</v>
      </c>
      <c r="L44" s="86">
        <v>-22.504649999999998</v>
      </c>
      <c r="M44" s="87">
        <v>-22.636795</v>
      </c>
      <c r="N44" s="88">
        <v>-21.467819999999996</v>
      </c>
      <c r="Q44" s="90">
        <v>-22.23</v>
      </c>
      <c r="R44" s="64">
        <v>100</v>
      </c>
      <c r="T44" s="2">
        <v>-23.111375157203852</v>
      </c>
      <c r="U44" s="109">
        <v>4132.131222634513</v>
      </c>
      <c r="V44" s="28">
        <v>-2.3838258951966655</v>
      </c>
      <c r="W44" s="43">
        <v>70</v>
      </c>
      <c r="Y44" s="2">
        <v>-21.27982000661699</v>
      </c>
      <c r="Z44" s="109">
        <v>1880.852489053805</v>
      </c>
      <c r="AA44" s="28">
        <v>-2.7256452638340187</v>
      </c>
      <c r="AB44" s="43">
        <v>70</v>
      </c>
      <c r="AF44" s="53">
        <v>-8.842276271591064</v>
      </c>
      <c r="AG44" s="54">
        <v>1778.3097724103773</v>
      </c>
      <c r="AH44" s="49">
        <v>-2.7499925849122833</v>
      </c>
      <c r="AI44" s="45">
        <f t="shared" si="12"/>
        <v>0.000562331723929386</v>
      </c>
      <c r="AJ44" s="43">
        <v>60</v>
      </c>
      <c r="AM44" s="45"/>
      <c r="AN44" s="53">
        <v>-20.059042965602348</v>
      </c>
      <c r="AO44" s="54">
        <v>1778.3097724103773</v>
      </c>
      <c r="AP44" s="49">
        <v>-2.7499925849122833</v>
      </c>
      <c r="AQ44" s="28"/>
      <c r="AR44" s="43">
        <v>60</v>
      </c>
    </row>
    <row r="45" spans="1:44" ht="15.75">
      <c r="A45" s="78">
        <v>38916</v>
      </c>
      <c r="B45" s="83">
        <v>55</v>
      </c>
      <c r="C45" s="84">
        <v>6802.266662981489</v>
      </c>
      <c r="D45" s="130">
        <f t="shared" si="38"/>
        <v>0.00014700982033563674</v>
      </c>
      <c r="E45" s="85">
        <f>LOG(C45/10^6)</f>
        <v>-2.1673463468238556</v>
      </c>
      <c r="F45" s="130">
        <f t="shared" si="39"/>
        <v>0.0001470098203356368</v>
      </c>
      <c r="G45" s="85">
        <v>5759.252441324328</v>
      </c>
      <c r="H45" s="85">
        <f t="shared" si="40"/>
        <v>-2.23963388492358</v>
      </c>
      <c r="I45" s="85">
        <v>4308.1022198882765</v>
      </c>
      <c r="J45" s="130">
        <f t="shared" si="41"/>
        <v>0.00023212076895100538</v>
      </c>
      <c r="K45" s="85">
        <f>LOG(I45/10^6)</f>
        <v>-2.3657140005906894</v>
      </c>
      <c r="L45" s="86">
        <v>-22.70795</v>
      </c>
      <c r="M45" s="87">
        <v>-23.19587</v>
      </c>
      <c r="N45" s="88">
        <v>-21.793099999999995</v>
      </c>
      <c r="Q45" s="91">
        <v>-22.73</v>
      </c>
      <c r="R45" s="65">
        <v>150</v>
      </c>
      <c r="T45" s="2">
        <v>-23.230728841638904</v>
      </c>
      <c r="U45" s="109">
        <v>4481.708665737107</v>
      </c>
      <c r="V45" s="28">
        <v>-2.3485563782728587</v>
      </c>
      <c r="W45" s="43">
        <v>80</v>
      </c>
      <c r="Y45" s="2">
        <v>-21.512456401668988</v>
      </c>
      <c r="Z45" s="109">
        <v>2020.6834662948427</v>
      </c>
      <c r="AA45" s="28">
        <v>-2.694501712020547</v>
      </c>
      <c r="AB45" s="43">
        <v>80</v>
      </c>
      <c r="AF45" s="53">
        <v>-8.861719165842995</v>
      </c>
      <c r="AG45" s="54">
        <v>1943.3880094310473</v>
      </c>
      <c r="AH45" s="49">
        <v>-2.711440481164683</v>
      </c>
      <c r="AI45" s="45">
        <f t="shared" si="12"/>
        <v>0.0005145652824588351</v>
      </c>
      <c r="AJ45" s="43">
        <v>70</v>
      </c>
      <c r="AM45" s="45"/>
      <c r="AN45" s="53">
        <v>-20.337375388905897</v>
      </c>
      <c r="AO45" s="54">
        <v>1943.3880094310473</v>
      </c>
      <c r="AP45" s="49">
        <v>-2.711440481164683</v>
      </c>
      <c r="AQ45" s="28"/>
      <c r="AR45" s="43">
        <v>70</v>
      </c>
    </row>
    <row r="46" spans="1:44" ht="15.75">
      <c r="A46" s="78">
        <v>38950</v>
      </c>
      <c r="B46" s="83">
        <v>56</v>
      </c>
      <c r="C46" s="84">
        <v>8621.327376428811</v>
      </c>
      <c r="D46" s="130">
        <f t="shared" si="38"/>
        <v>0.00011599141945752525</v>
      </c>
      <c r="E46" s="85">
        <f>LOG(C46/10^6)</f>
        <v>-2.064425863191749</v>
      </c>
      <c r="F46" s="130">
        <f t="shared" si="39"/>
        <v>0.0001159914194575252</v>
      </c>
      <c r="G46" s="85">
        <v>8136.519908616149</v>
      </c>
      <c r="H46" s="85">
        <f t="shared" si="40"/>
        <v>-2.0895613085822338</v>
      </c>
      <c r="I46" s="85">
        <v>5014.142419517974</v>
      </c>
      <c r="J46" s="130">
        <f t="shared" si="41"/>
        <v>0.00019943589877052857</v>
      </c>
      <c r="K46" s="85">
        <f>LOG(I46/10^6)</f>
        <v>-2.2998033346912536</v>
      </c>
      <c r="L46" s="86">
        <v>-23.19587</v>
      </c>
      <c r="M46" s="87">
        <v>-24.425834999999996</v>
      </c>
      <c r="N46" s="88">
        <v>-23.389004999999997</v>
      </c>
      <c r="T46" s="2">
        <v>-23.320061139681325</v>
      </c>
      <c r="U46" s="109">
        <v>4784.675783092689</v>
      </c>
      <c r="V46" s="28">
        <v>-2.320147485344667</v>
      </c>
      <c r="W46" s="43">
        <v>90</v>
      </c>
      <c r="Y46" s="2">
        <v>-21.68950371457634</v>
      </c>
      <c r="Z46" s="109">
        <v>2141.8703132370756</v>
      </c>
      <c r="AA46" s="28">
        <v>-2.6692068285324497</v>
      </c>
      <c r="AB46" s="43">
        <v>90</v>
      </c>
      <c r="AF46" s="53">
        <v>-8.87632285733253</v>
      </c>
      <c r="AG46" s="54">
        <v>2089.0452773904617</v>
      </c>
      <c r="AH46" s="49">
        <v>-2.680052147139013</v>
      </c>
      <c r="AI46" s="45">
        <f t="shared" si="12"/>
        <v>0.0004786875664318556</v>
      </c>
      <c r="AJ46" s="43">
        <v>80</v>
      </c>
      <c r="AM46" s="45"/>
      <c r="AN46" s="53">
        <v>-20.54643173143034</v>
      </c>
      <c r="AO46" s="54">
        <v>2089.0452773904617</v>
      </c>
      <c r="AP46" s="49">
        <v>-2.680052147139013</v>
      </c>
      <c r="AQ46" s="28"/>
      <c r="AR46" s="43">
        <v>80</v>
      </c>
    </row>
    <row r="47" spans="1:44" ht="15.75">
      <c r="A47" s="78">
        <v>38979</v>
      </c>
      <c r="B47" s="83">
        <v>57</v>
      </c>
      <c r="C47" s="84"/>
      <c r="D47" s="130"/>
      <c r="E47" s="85"/>
      <c r="F47" s="130"/>
      <c r="G47" s="85"/>
      <c r="H47" s="85"/>
      <c r="I47" s="85"/>
      <c r="J47" s="130"/>
      <c r="K47" s="85"/>
      <c r="T47" s="2">
        <v>-23.38726298541549</v>
      </c>
      <c r="U47" s="109">
        <v>5041.032574701258</v>
      </c>
      <c r="V47" s="28">
        <v>-2.2974804961807154</v>
      </c>
      <c r="W47" s="43">
        <v>100</v>
      </c>
      <c r="Y47" s="2">
        <v>-21.82437909218171</v>
      </c>
      <c r="Z47" s="109">
        <v>2244.413029880503</v>
      </c>
      <c r="AA47" s="28">
        <v>-2.64889721867613</v>
      </c>
      <c r="AB47" s="43">
        <v>100</v>
      </c>
      <c r="AF47" s="53">
        <v>-8.887425981639051</v>
      </c>
      <c r="AG47" s="54">
        <v>2215.2815762886203</v>
      </c>
      <c r="AH47" s="49">
        <v>-2.654571064359049</v>
      </c>
      <c r="AI47" s="45">
        <f t="shared" si="12"/>
        <v>0.00045140988427997265</v>
      </c>
      <c r="AJ47" s="43">
        <v>90</v>
      </c>
      <c r="AM47" s="45"/>
      <c r="AN47" s="53">
        <v>-20.705375771633005</v>
      </c>
      <c r="AO47" s="54">
        <v>2215.2815762886203</v>
      </c>
      <c r="AP47" s="49">
        <v>-2.654571064359049</v>
      </c>
      <c r="AQ47" s="28"/>
      <c r="AR47" s="43">
        <v>90</v>
      </c>
    </row>
    <row r="48" spans="1:44" ht="15.75">
      <c r="A48" s="78">
        <v>39013</v>
      </c>
      <c r="B48" s="83">
        <v>58</v>
      </c>
      <c r="C48" s="84">
        <v>8137.494709298327</v>
      </c>
      <c r="D48" s="130">
        <f t="shared" si="38"/>
        <v>0.00012288794472054744</v>
      </c>
      <c r="E48" s="85">
        <f aca="true" t="shared" si="42" ref="E48:E73">LOG(C48/10^6)</f>
        <v>-2.0895092807860607</v>
      </c>
      <c r="F48" s="130">
        <f t="shared" si="39"/>
        <v>0.00012288794472054747</v>
      </c>
      <c r="G48" s="85">
        <v>12300.289782141024</v>
      </c>
      <c r="H48" s="85">
        <f t="shared" si="40"/>
        <v>-1.910084656910006</v>
      </c>
      <c r="I48" s="85">
        <v>11082.953856101296</v>
      </c>
      <c r="J48" s="130">
        <f t="shared" si="41"/>
        <v>9.022865320778073E-05</v>
      </c>
      <c r="K48" s="85">
        <f aca="true" t="shared" si="43" ref="K48:K73">LOG(I48/10^6)</f>
        <v>-1.9553444749472415</v>
      </c>
      <c r="L48" s="86"/>
      <c r="M48" s="87"/>
      <c r="N48" s="88"/>
      <c r="T48" s="2">
        <v>-23.437365466301042</v>
      </c>
      <c r="U48" s="109">
        <v>5250.779040562815</v>
      </c>
      <c r="V48" s="28">
        <v>-2.2797762569906723</v>
      </c>
      <c r="W48" s="43">
        <v>110</v>
      </c>
      <c r="Y48" s="2">
        <v>-21.92589484119567</v>
      </c>
      <c r="Z48" s="109">
        <v>2328.311616225126</v>
      </c>
      <c r="AA48" s="28">
        <v>-2.6329588950916136</v>
      </c>
      <c r="AB48" s="43">
        <v>110</v>
      </c>
      <c r="AF48" s="53">
        <v>-8.895878029615112</v>
      </c>
      <c r="AG48" s="54">
        <v>2322.0969061255246</v>
      </c>
      <c r="AH48" s="49">
        <v>-2.6341196601713466</v>
      </c>
      <c r="AI48" s="45">
        <f t="shared" si="12"/>
        <v>0.0004306452488533412</v>
      </c>
      <c r="AJ48" s="43">
        <v>100</v>
      </c>
      <c r="AM48" s="45"/>
      <c r="AN48" s="53">
        <v>-20.82636863168419</v>
      </c>
      <c r="AO48" s="54">
        <v>2322.0969061255246</v>
      </c>
      <c r="AP48" s="49">
        <v>-2.6341196601713466</v>
      </c>
      <c r="AQ48" s="28"/>
      <c r="AR48" s="43">
        <v>100</v>
      </c>
    </row>
    <row r="49" spans="1:44" ht="15.75">
      <c r="A49" s="78">
        <v>39048</v>
      </c>
      <c r="B49" s="83">
        <v>59</v>
      </c>
      <c r="C49" s="84">
        <v>2835.547150895519</v>
      </c>
      <c r="D49" s="130">
        <f t="shared" si="38"/>
        <v>0.000352665622112537</v>
      </c>
      <c r="E49" s="85">
        <f t="shared" si="42"/>
        <v>-2.54736312665219</v>
      </c>
      <c r="F49" s="130">
        <f t="shared" si="39"/>
        <v>0.00035266562211253754</v>
      </c>
      <c r="G49" s="85">
        <v>5103.984871611934</v>
      </c>
      <c r="H49" s="85">
        <f t="shared" si="40"/>
        <v>-2.2920906215488834</v>
      </c>
      <c r="I49" s="85">
        <v>6805.313162149245</v>
      </c>
      <c r="J49" s="130">
        <f t="shared" si="41"/>
        <v>0.0001469440092135571</v>
      </c>
      <c r="K49" s="85">
        <f t="shared" si="43"/>
        <v>-2.1671518849405835</v>
      </c>
      <c r="L49" s="86">
        <v>-23.775275</v>
      </c>
      <c r="M49" s="87">
        <v>-24.110719999999997</v>
      </c>
      <c r="N49" s="88">
        <v>-24.913755</v>
      </c>
      <c r="T49" s="2">
        <v>-23.47365007141211</v>
      </c>
      <c r="U49" s="109">
        <v>5413.915180677359</v>
      </c>
      <c r="V49" s="28">
        <v>-2.266488552564836</v>
      </c>
      <c r="W49" s="43">
        <v>120</v>
      </c>
      <c r="Y49" s="2">
        <v>-21.999931270921923</v>
      </c>
      <c r="Z49" s="109">
        <v>2393.5660722709436</v>
      </c>
      <c r="AA49" s="28">
        <v>-2.6209545797021385</v>
      </c>
      <c r="AB49" s="43">
        <v>120</v>
      </c>
      <c r="AF49" s="53">
        <v>-8.902235952929827</v>
      </c>
      <c r="AG49" s="54">
        <v>2409.491266901173</v>
      </c>
      <c r="AH49" s="49">
        <v>-2.6180746434418363</v>
      </c>
      <c r="AI49" s="45">
        <f t="shared" si="12"/>
        <v>0.000415025368108552</v>
      </c>
      <c r="AJ49" s="43">
        <v>110</v>
      </c>
      <c r="AM49" s="45"/>
      <c r="AN49" s="53">
        <v>-20.917383453413095</v>
      </c>
      <c r="AO49" s="54">
        <v>2409.491266901173</v>
      </c>
      <c r="AP49" s="49">
        <v>-2.6180746434418363</v>
      </c>
      <c r="AQ49" s="28"/>
      <c r="AR49" s="43">
        <v>110</v>
      </c>
    </row>
    <row r="50" spans="1:44" ht="15.75">
      <c r="A50" s="78">
        <v>39084</v>
      </c>
      <c r="B50" s="83">
        <v>60</v>
      </c>
      <c r="C50" s="84">
        <v>803.7625855210872</v>
      </c>
      <c r="D50" s="130">
        <f t="shared" si="38"/>
        <v>0.0012441484811733182</v>
      </c>
      <c r="E50" s="85">
        <f t="shared" si="42"/>
        <v>-3.094872213719893</v>
      </c>
      <c r="F50" s="130">
        <f t="shared" si="39"/>
        <v>0.0012441484811733195</v>
      </c>
      <c r="G50" s="85">
        <v>2147.194335606333</v>
      </c>
      <c r="H50" s="85">
        <f t="shared" si="40"/>
        <v>-2.668128647197651</v>
      </c>
      <c r="I50" s="85">
        <v>2962.4392437777215</v>
      </c>
      <c r="J50" s="130">
        <f t="shared" si="41"/>
        <v>0.0003375596654346212</v>
      </c>
      <c r="K50" s="85">
        <f t="shared" si="43"/>
        <v>-2.52835054777092</v>
      </c>
      <c r="L50" s="86">
        <v>-22.504649999999998</v>
      </c>
      <c r="M50" s="87">
        <v>-23.0129</v>
      </c>
      <c r="N50" s="88">
        <v>-23.693955</v>
      </c>
      <c r="T50" s="2">
        <v>-23.498257036394854</v>
      </c>
      <c r="U50" s="109">
        <v>5530.440995044891</v>
      </c>
      <c r="V50" s="28">
        <v>-2.2572402368547215</v>
      </c>
      <c r="W50" s="43">
        <v>130</v>
      </c>
      <c r="Y50" s="2">
        <v>-22.05039004717102</v>
      </c>
      <c r="Z50" s="109">
        <v>2440.1763980179558</v>
      </c>
      <c r="AA50" s="28">
        <v>-2.6125787777937437</v>
      </c>
      <c r="AB50" s="43">
        <v>130</v>
      </c>
      <c r="AF50" s="53">
        <v>-8.90687088778941</v>
      </c>
      <c r="AG50" s="54">
        <v>2477.4646586155663</v>
      </c>
      <c r="AH50" s="49">
        <v>-2.605992532070827</v>
      </c>
      <c r="AI50" s="45">
        <f t="shared" si="12"/>
        <v>0.0004036384521258162</v>
      </c>
      <c r="AJ50" s="43">
        <v>120</v>
      </c>
      <c r="AM50" s="45"/>
      <c r="AN50" s="53">
        <v>-20.98373327595371</v>
      </c>
      <c r="AO50" s="54">
        <v>2477.4646586155663</v>
      </c>
      <c r="AP50" s="49">
        <v>-2.605992532070827</v>
      </c>
      <c r="AQ50" s="28"/>
      <c r="AR50" s="43">
        <v>120</v>
      </c>
    </row>
    <row r="51" spans="1:44" ht="15.75">
      <c r="A51" s="78">
        <v>39105</v>
      </c>
      <c r="B51" s="83">
        <v>61</v>
      </c>
      <c r="C51" s="84">
        <v>1047.4185362047817</v>
      </c>
      <c r="D51" s="130">
        <f t="shared" si="38"/>
        <v>0.0009547281869035866</v>
      </c>
      <c r="E51" s="85">
        <f t="shared" si="42"/>
        <v>-2.97987974464093</v>
      </c>
      <c r="F51" s="130">
        <f t="shared" si="39"/>
        <v>0.0009547281869035873</v>
      </c>
      <c r="G51" s="85">
        <v>1966.8192513178678</v>
      </c>
      <c r="H51" s="85">
        <f t="shared" si="40"/>
        <v>-2.7062355494665815</v>
      </c>
      <c r="I51" s="85">
        <v>2520.4664865555133</v>
      </c>
      <c r="J51" s="130">
        <f t="shared" si="41"/>
        <v>0.0003967519525985076</v>
      </c>
      <c r="K51" s="85">
        <f t="shared" si="43"/>
        <v>-2.598519072794675</v>
      </c>
      <c r="L51" s="86">
        <v>-21.843925</v>
      </c>
      <c r="M51" s="87">
        <v>-22.494484999999997</v>
      </c>
      <c r="N51" s="88">
        <v>-23.602469999999997</v>
      </c>
      <c r="T51" s="2">
        <v>-23.512529695367988</v>
      </c>
      <c r="U51" s="109">
        <v>5600.3564836654095</v>
      </c>
      <c r="V51" s="28">
        <v>-2.2517843276435725</v>
      </c>
      <c r="W51" s="43">
        <v>140</v>
      </c>
      <c r="Y51" s="2">
        <v>-22.07975050018074</v>
      </c>
      <c r="Z51" s="109">
        <v>2468.1425934661634</v>
      </c>
      <c r="AA51" s="28">
        <v>-2.6076297531612487</v>
      </c>
      <c r="AB51" s="43">
        <v>140</v>
      </c>
      <c r="AF51" s="53">
        <v>-8.910028833322038</v>
      </c>
      <c r="AG51" s="54">
        <v>2526.0170812687043</v>
      </c>
      <c r="AH51" s="49">
        <v>-2.59756371701281</v>
      </c>
      <c r="AI51" s="45">
        <f t="shared" si="12"/>
        <v>0.000395880141672576</v>
      </c>
      <c r="AJ51" s="43">
        <v>130</v>
      </c>
      <c r="AM51" s="45"/>
      <c r="AN51" s="53">
        <v>-21.02893971150721</v>
      </c>
      <c r="AO51" s="54">
        <v>2526.0170812687043</v>
      </c>
      <c r="AP51" s="49">
        <v>-2.59756371701281</v>
      </c>
      <c r="AQ51" s="28"/>
      <c r="AR51" s="43">
        <v>130</v>
      </c>
    </row>
    <row r="52" spans="1:44" ht="15.75">
      <c r="A52" s="78">
        <v>39135</v>
      </c>
      <c r="B52" s="83">
        <v>62</v>
      </c>
      <c r="C52" s="84">
        <v>1494.7350774634847</v>
      </c>
      <c r="D52" s="130">
        <f t="shared" si="38"/>
        <v>0.0006690148743260689</v>
      </c>
      <c r="E52" s="85">
        <f t="shared" si="42"/>
        <v>-2.825435773621219</v>
      </c>
      <c r="F52" s="130">
        <f t="shared" si="39"/>
        <v>0.000669014874326069</v>
      </c>
      <c r="G52" s="85">
        <v>2644.5312908969345</v>
      </c>
      <c r="H52" s="85">
        <f t="shared" si="40"/>
        <v>-2.5776512899104627</v>
      </c>
      <c r="I52" s="85">
        <v>3564.3682616436945</v>
      </c>
      <c r="J52" s="130">
        <f t="shared" si="41"/>
        <v>0.0002805546247173837</v>
      </c>
      <c r="K52" s="85">
        <f t="shared" si="43"/>
        <v>-2.448017432093783</v>
      </c>
      <c r="L52" s="86">
        <v>-21.244189999999996</v>
      </c>
      <c r="M52" s="87">
        <v>-22.331844999999998</v>
      </c>
      <c r="N52" s="88">
        <v>-22.880754999999997</v>
      </c>
      <c r="T52" s="2">
        <v>-23.517208383776023</v>
      </c>
      <c r="U52" s="109">
        <v>5623.661646538916</v>
      </c>
      <c r="V52" s="106">
        <v>-2.249980816982106</v>
      </c>
      <c r="W52" s="43">
        <v>150</v>
      </c>
      <c r="Y52" s="2">
        <v>-22.089390012516198</v>
      </c>
      <c r="Z52" s="109">
        <v>2477.464658615566</v>
      </c>
      <c r="AA52" s="106">
        <v>-2.605992532070827</v>
      </c>
      <c r="AB52" s="43">
        <v>150</v>
      </c>
      <c r="AF52" s="53">
        <v>-8.91186599415461</v>
      </c>
      <c r="AG52" s="54">
        <v>2555.1485348605875</v>
      </c>
      <c r="AH52" s="49">
        <v>-2.5925838485643706</v>
      </c>
      <c r="AI52" s="45">
        <f t="shared" si="12"/>
        <v>0.0003913666803932251</v>
      </c>
      <c r="AJ52" s="43">
        <v>140</v>
      </c>
      <c r="AM52" s="45"/>
      <c r="AN52" s="53">
        <v>-21.05523890841532</v>
      </c>
      <c r="AO52" s="54">
        <v>2555.1485348605875</v>
      </c>
      <c r="AP52" s="49">
        <v>-2.5925838485643706</v>
      </c>
      <c r="AQ52" s="28"/>
      <c r="AR52" s="43">
        <v>140</v>
      </c>
    </row>
    <row r="53" spans="1:44" ht="15.75">
      <c r="A53" s="78">
        <v>39163</v>
      </c>
      <c r="B53" s="83">
        <v>63</v>
      </c>
      <c r="C53" s="84">
        <v>1626.1417585947772</v>
      </c>
      <c r="D53" s="130">
        <f t="shared" si="38"/>
        <v>0.0006149525370187562</v>
      </c>
      <c r="E53" s="85">
        <f t="shared" si="42"/>
        <v>-2.7888415975537963</v>
      </c>
      <c r="F53" s="130">
        <f t="shared" si="39"/>
        <v>0.0006149525370187562</v>
      </c>
      <c r="G53" s="85">
        <v>3136.1305344327848</v>
      </c>
      <c r="H53" s="85">
        <f t="shared" si="40"/>
        <v>-2.503605869073047</v>
      </c>
      <c r="I53" s="85">
        <v>3716.8954482166337</v>
      </c>
      <c r="J53" s="130">
        <f t="shared" si="41"/>
        <v>0.00026904173494570583</v>
      </c>
      <c r="K53" s="85">
        <f t="shared" si="43"/>
        <v>-2.4298196549121287</v>
      </c>
      <c r="L53" s="89">
        <v>-20.53</v>
      </c>
      <c r="M53" s="90">
        <v>-22.23</v>
      </c>
      <c r="N53" s="91">
        <v>-22.71</v>
      </c>
      <c r="T53" t="s">
        <v>91</v>
      </c>
      <c r="Y53" t="s">
        <v>91</v>
      </c>
      <c r="AF53" s="53">
        <v>-8.912469107163146</v>
      </c>
      <c r="AG53" s="54">
        <v>2564.859019391215</v>
      </c>
      <c r="AH53" s="49">
        <v>-2.590936501422781</v>
      </c>
      <c r="AI53" s="45">
        <f t="shared" si="12"/>
        <v>0.00038988497708437647</v>
      </c>
      <c r="AJ53" s="43">
        <v>150</v>
      </c>
      <c r="AM53" s="45"/>
      <c r="AN53" s="53">
        <v>-21.063872546667195</v>
      </c>
      <c r="AO53" s="54">
        <v>2564.859019391215</v>
      </c>
      <c r="AP53" s="49">
        <v>-2.590936501422781</v>
      </c>
      <c r="AQ53" s="28"/>
      <c r="AR53" s="43">
        <v>150</v>
      </c>
    </row>
    <row r="54" spans="1:25" ht="15">
      <c r="A54" s="78">
        <v>39196</v>
      </c>
      <c r="B54" s="83">
        <v>64</v>
      </c>
      <c r="C54" s="84">
        <v>4330.395725947341</v>
      </c>
      <c r="D54" s="130">
        <f t="shared" si="38"/>
        <v>0.00023092577752376997</v>
      </c>
      <c r="E54" s="85">
        <f t="shared" si="42"/>
        <v>-2.363472414560631</v>
      </c>
      <c r="F54" s="130">
        <f t="shared" si="39"/>
        <v>0.00023092577752377013</v>
      </c>
      <c r="G54" s="85">
        <v>3760.6068146384805</v>
      </c>
      <c r="H54" s="85">
        <f t="shared" si="40"/>
        <v>-2.4247420712995535</v>
      </c>
      <c r="I54" s="85">
        <v>2848.9445565443034</v>
      </c>
      <c r="J54" s="130">
        <f t="shared" si="41"/>
        <v>0.0003510071818361303</v>
      </c>
      <c r="K54" s="85">
        <f t="shared" si="43"/>
        <v>-2.5453160025054036</v>
      </c>
      <c r="L54" s="89">
        <v>-20.63</v>
      </c>
      <c r="M54" s="90">
        <v>-21.97</v>
      </c>
      <c r="N54" s="91">
        <v>-22.5</v>
      </c>
      <c r="Y54" t="s">
        <v>93</v>
      </c>
    </row>
    <row r="55" spans="1:14" ht="15">
      <c r="A55" s="78">
        <v>39224</v>
      </c>
      <c r="B55" s="83">
        <v>65</v>
      </c>
      <c r="C55" s="84">
        <v>6385.946141861429</v>
      </c>
      <c r="D55" s="130">
        <f t="shared" si="38"/>
        <v>0.00015659386687350162</v>
      </c>
      <c r="E55" s="85">
        <f t="shared" si="42"/>
        <v>-2.1947747485574607</v>
      </c>
      <c r="F55" s="130">
        <f t="shared" si="39"/>
        <v>0.00015659386687350184</v>
      </c>
      <c r="G55" s="85">
        <v>4675.424853862833</v>
      </c>
      <c r="H55" s="85">
        <f t="shared" si="40"/>
        <v>-2.3301789188439255</v>
      </c>
      <c r="I55" s="85">
        <v>2850.868813330995</v>
      </c>
      <c r="J55" s="130">
        <f t="shared" si="41"/>
        <v>0.00035077026179664364</v>
      </c>
      <c r="K55" s="85">
        <f t="shared" si="43"/>
        <v>-2.5450227668916234</v>
      </c>
      <c r="L55" s="89">
        <v>-21.55</v>
      </c>
      <c r="M55" s="90">
        <v>-22.06</v>
      </c>
      <c r="N55" s="91">
        <v>-22.16</v>
      </c>
    </row>
    <row r="56" spans="1:14" ht="15">
      <c r="A56" s="78">
        <v>39252</v>
      </c>
      <c r="B56" s="83">
        <v>66</v>
      </c>
      <c r="C56" s="84">
        <v>9929.96610595005</v>
      </c>
      <c r="D56" s="130">
        <f t="shared" si="38"/>
        <v>0.00010070527827892569</v>
      </c>
      <c r="E56" s="85">
        <f t="shared" si="42"/>
        <v>-2.0030522338836705</v>
      </c>
      <c r="F56" s="130">
        <f t="shared" si="39"/>
        <v>0.00010070527827892572</v>
      </c>
      <c r="G56" s="85">
        <v>5250.3269065942795</v>
      </c>
      <c r="H56" s="85">
        <f t="shared" si="40"/>
        <v>-2.2798136548207153</v>
      </c>
      <c r="I56" s="85">
        <v>2625.1634532971398</v>
      </c>
      <c r="J56" s="130">
        <f t="shared" si="41"/>
        <v>0.0003809286613159363</v>
      </c>
      <c r="K56" s="85">
        <f t="shared" si="43"/>
        <v>-2.580843650484696</v>
      </c>
      <c r="L56" s="89">
        <v>-22.3</v>
      </c>
      <c r="M56" s="90">
        <v>-22.76</v>
      </c>
      <c r="N56" s="91">
        <v>-22.19</v>
      </c>
    </row>
    <row r="57" spans="1:14" ht="15">
      <c r="A57" s="78">
        <v>39286</v>
      </c>
      <c r="B57" s="83">
        <v>67</v>
      </c>
      <c r="C57" s="84">
        <v>7801.789090091577</v>
      </c>
      <c r="D57" s="130">
        <f t="shared" si="38"/>
        <v>0.00012817572847105278</v>
      </c>
      <c r="E57" s="85">
        <f t="shared" si="42"/>
        <v>-2.107805794378943</v>
      </c>
      <c r="F57" s="130">
        <f t="shared" si="39"/>
        <v>0.00012817572847105286</v>
      </c>
      <c r="G57" s="85">
        <v>6539.7349725767635</v>
      </c>
      <c r="H57" s="85">
        <f t="shared" si="40"/>
        <v>-2.184439851412688</v>
      </c>
      <c r="I57" s="85">
        <v>4818.7520850565625</v>
      </c>
      <c r="J57" s="130">
        <f t="shared" si="41"/>
        <v>0.00020752260800075212</v>
      </c>
      <c r="K57" s="85">
        <f t="shared" si="43"/>
        <v>-2.317065416687279</v>
      </c>
      <c r="L57" s="89">
        <v>-22.93</v>
      </c>
      <c r="M57" s="90">
        <v>-23.38</v>
      </c>
      <c r="N57" s="91">
        <v>-22</v>
      </c>
    </row>
    <row r="58" spans="1:14" ht="15">
      <c r="A58" s="78">
        <v>39314</v>
      </c>
      <c r="B58" s="83">
        <v>68</v>
      </c>
      <c r="C58" s="84">
        <v>8416.439561234409</v>
      </c>
      <c r="D58" s="130">
        <f t="shared" si="38"/>
        <v>0.00011881508715466064</v>
      </c>
      <c r="E58" s="85">
        <f t="shared" si="42"/>
        <v>-2.0748715909144946</v>
      </c>
      <c r="F58" s="130">
        <f t="shared" si="39"/>
        <v>0.00011881508715466058</v>
      </c>
      <c r="G58" s="85">
        <v>8416.439561234409</v>
      </c>
      <c r="H58" s="85">
        <f t="shared" si="40"/>
        <v>-2.0748715909144946</v>
      </c>
      <c r="I58" s="85">
        <v>4381.160319546679</v>
      </c>
      <c r="J58" s="130">
        <f t="shared" si="41"/>
        <v>0.0002282500358497428</v>
      </c>
      <c r="K58" s="85">
        <f t="shared" si="43"/>
        <v>-2.3584108544181404</v>
      </c>
      <c r="L58" s="89">
        <v>-22.37</v>
      </c>
      <c r="M58" s="90">
        <v>-23.57</v>
      </c>
      <c r="N58" s="91">
        <v>-22.36</v>
      </c>
    </row>
    <row r="59" spans="1:14" ht="15">
      <c r="A59" s="78">
        <v>39350</v>
      </c>
      <c r="B59" s="83">
        <v>69</v>
      </c>
      <c r="C59" s="84">
        <v>9398.459574983523</v>
      </c>
      <c r="D59" s="130">
        <f t="shared" si="38"/>
        <v>0.00010640041509161391</v>
      </c>
      <c r="E59" s="85">
        <f t="shared" si="42"/>
        <v>-2.026943322241414</v>
      </c>
      <c r="F59" s="130">
        <f t="shared" si="39"/>
        <v>0.00010640041509161387</v>
      </c>
      <c r="G59" s="85">
        <v>11576.151427723607</v>
      </c>
      <c r="H59" s="85">
        <f t="shared" si="40"/>
        <v>-1.9364358008424885</v>
      </c>
      <c r="I59" s="85">
        <v>8710.767410960338</v>
      </c>
      <c r="J59" s="130">
        <f t="shared" si="41"/>
        <v>0.00011480044786200448</v>
      </c>
      <c r="K59" s="85">
        <f t="shared" si="43"/>
        <v>-2.0599435823443395</v>
      </c>
      <c r="L59" s="89">
        <v>-23.17</v>
      </c>
      <c r="M59" s="90">
        <v>-24.44</v>
      </c>
      <c r="N59" s="91">
        <v>-23.57</v>
      </c>
    </row>
    <row r="60" spans="1:14" ht="15">
      <c r="A60" s="78">
        <v>39370</v>
      </c>
      <c r="B60" s="83">
        <v>70</v>
      </c>
      <c r="C60" s="84">
        <v>7615.467205877935</v>
      </c>
      <c r="D60" s="130">
        <f t="shared" si="38"/>
        <v>0.00013131170720926462</v>
      </c>
      <c r="E60" s="85">
        <f t="shared" si="42"/>
        <v>-2.1183034477172353</v>
      </c>
      <c r="F60" s="130">
        <f t="shared" si="39"/>
        <v>0.00013131170720926462</v>
      </c>
      <c r="G60" s="85">
        <v>12162.014791476702</v>
      </c>
      <c r="H60" s="85">
        <f t="shared" si="40"/>
        <v>-1.9149944727328523</v>
      </c>
      <c r="I60" s="85">
        <v>12275.67848111667</v>
      </c>
      <c r="J60" s="130">
        <f t="shared" si="41"/>
        <v>8.146189243537713E-05</v>
      </c>
      <c r="K60" s="85">
        <f t="shared" si="43"/>
        <v>-1.9109544949311124</v>
      </c>
      <c r="L60" s="89">
        <v>-23.45</v>
      </c>
      <c r="M60" s="90">
        <v>-24.33</v>
      </c>
      <c r="N60" s="91">
        <v>-24.69</v>
      </c>
    </row>
    <row r="61" spans="1:14" ht="15">
      <c r="A61" s="78">
        <v>39406</v>
      </c>
      <c r="B61" s="83">
        <v>71</v>
      </c>
      <c r="C61" s="84">
        <v>1713.994327031841</v>
      </c>
      <c r="D61" s="130">
        <f t="shared" si="38"/>
        <v>0.0005834325027969727</v>
      </c>
      <c r="E61" s="85">
        <f t="shared" si="42"/>
        <v>-2.7659906198357174</v>
      </c>
      <c r="F61" s="130">
        <f t="shared" si="39"/>
        <v>0.0005834325027969734</v>
      </c>
      <c r="G61" s="85">
        <v>3656.5212310012607</v>
      </c>
      <c r="H61" s="85">
        <f t="shared" si="40"/>
        <v>-2.4369319005714924</v>
      </c>
      <c r="I61" s="85">
        <v>6741.7110196585745</v>
      </c>
      <c r="J61" s="130">
        <f t="shared" si="41"/>
        <v>0.00014833029732126427</v>
      </c>
      <c r="K61" s="85">
        <f t="shared" si="43"/>
        <v>-2.1712298672492545</v>
      </c>
      <c r="L61" s="89">
        <v>-23.49</v>
      </c>
      <c r="M61" s="90">
        <v>-24.06</v>
      </c>
      <c r="N61" s="91">
        <v>-24.06</v>
      </c>
    </row>
    <row r="62" spans="1:14" ht="15">
      <c r="A62" s="78">
        <v>39431</v>
      </c>
      <c r="B62" s="83">
        <v>72</v>
      </c>
      <c r="C62" s="84">
        <v>1483.119609892399</v>
      </c>
      <c r="D62" s="130">
        <f t="shared" si="38"/>
        <v>0.0006742544521224087</v>
      </c>
      <c r="E62" s="85">
        <f t="shared" si="42"/>
        <v>-2.828823822793911</v>
      </c>
      <c r="F62" s="130">
        <f t="shared" si="39"/>
        <v>0.0006742544521224092</v>
      </c>
      <c r="G62" s="85">
        <v>2966.239219784798</v>
      </c>
      <c r="H62" s="85">
        <f t="shared" si="40"/>
        <v>-2.52779382712993</v>
      </c>
      <c r="I62" s="85">
        <v>4905.703325028704</v>
      </c>
      <c r="J62" s="130">
        <f t="shared" si="41"/>
        <v>0.00020384436924630962</v>
      </c>
      <c r="K62" s="85">
        <f t="shared" si="43"/>
        <v>-2.3092987195211614</v>
      </c>
      <c r="L62" s="89">
        <v>-21.59</v>
      </c>
      <c r="M62" s="90">
        <v>-23.03</v>
      </c>
      <c r="N62" s="91">
        <v>-24.06</v>
      </c>
    </row>
    <row r="63" spans="1:14" ht="15">
      <c r="A63" s="78">
        <v>39469</v>
      </c>
      <c r="B63" s="83">
        <v>73</v>
      </c>
      <c r="C63" s="84">
        <v>1387.6712328767123</v>
      </c>
      <c r="D63" s="130">
        <f t="shared" si="38"/>
        <v>0.0007206317867719644</v>
      </c>
      <c r="E63" s="85">
        <f t="shared" si="42"/>
        <v>-2.8577134147601755</v>
      </c>
      <c r="F63" s="130">
        <f t="shared" si="39"/>
        <v>0.0007206317867719651</v>
      </c>
      <c r="G63" s="85">
        <v>2197.1461187214613</v>
      </c>
      <c r="H63" s="85">
        <f t="shared" si="40"/>
        <v>-2.6581410598549713</v>
      </c>
      <c r="I63" s="85">
        <v>3353.538812785388</v>
      </c>
      <c r="J63" s="130">
        <f t="shared" si="41"/>
        <v>0.00029819246349184735</v>
      </c>
      <c r="K63" s="85">
        <f t="shared" si="43"/>
        <v>-2.474496662908844</v>
      </c>
      <c r="L63" s="89">
        <v>-21.21</v>
      </c>
      <c r="M63" s="90">
        <v>-23.06</v>
      </c>
      <c r="N63" s="91">
        <v>-23.82</v>
      </c>
    </row>
    <row r="64" spans="1:14" ht="15">
      <c r="A64" s="78">
        <v>39489</v>
      </c>
      <c r="B64" s="83">
        <v>74</v>
      </c>
      <c r="C64" s="84">
        <v>1356.6964285714287</v>
      </c>
      <c r="D64" s="130">
        <f t="shared" si="38"/>
        <v>0.0007370845672918723</v>
      </c>
      <c r="E64" s="85">
        <f t="shared" si="42"/>
        <v>-2.8675173182542197</v>
      </c>
      <c r="F64" s="130">
        <f t="shared" si="39"/>
        <v>0.0007370845672918726</v>
      </c>
      <c r="G64" s="85">
        <v>2148.1026785714284</v>
      </c>
      <c r="H64" s="85">
        <f t="shared" si="40"/>
        <v>-2.667944963349016</v>
      </c>
      <c r="I64" s="85">
        <v>3052.566964285714</v>
      </c>
      <c r="J64" s="130">
        <f t="shared" si="41"/>
        <v>0.0003275931410186099</v>
      </c>
      <c r="K64" s="85">
        <f t="shared" si="43"/>
        <v>-2.5153348001428575</v>
      </c>
      <c r="L64" s="89">
        <v>-20.31</v>
      </c>
      <c r="M64" s="90">
        <v>-22.23</v>
      </c>
      <c r="N64" s="91">
        <v>-22.73</v>
      </c>
    </row>
    <row r="65" spans="1:14" ht="15">
      <c r="A65" s="78">
        <v>39522</v>
      </c>
      <c r="B65" s="83">
        <v>75</v>
      </c>
      <c r="C65" s="84">
        <v>1835.5605889014723</v>
      </c>
      <c r="D65" s="130">
        <f t="shared" si="38"/>
        <v>0.0005447926949654491</v>
      </c>
      <c r="E65" s="85">
        <f t="shared" si="42"/>
        <v>-2.7362312755613636</v>
      </c>
      <c r="F65" s="130">
        <f t="shared" si="39"/>
        <v>0.0005447926949654499</v>
      </c>
      <c r="G65" s="85">
        <v>2523.8958097395243</v>
      </c>
      <c r="H65" s="85">
        <f t="shared" si="40"/>
        <v>-2.597928577395082</v>
      </c>
      <c r="I65" s="85">
        <v>2638.618346545866</v>
      </c>
      <c r="J65" s="130">
        <f t="shared" si="41"/>
        <v>0.00037898622258466033</v>
      </c>
      <c r="K65" s="85">
        <f t="shared" si="43"/>
        <v>-2.578623422199695</v>
      </c>
      <c r="L65" s="89">
        <v>-20.14</v>
      </c>
      <c r="M65" s="90">
        <v>-22.25</v>
      </c>
      <c r="N65" s="91">
        <v>-22.41</v>
      </c>
    </row>
    <row r="66" spans="1:14" ht="15">
      <c r="A66" s="78">
        <v>39559</v>
      </c>
      <c r="B66" s="83">
        <v>76</v>
      </c>
      <c r="C66" s="84">
        <v>2442.365097588978</v>
      </c>
      <c r="D66" s="130">
        <f t="shared" si="38"/>
        <v>0.00040943919522399284</v>
      </c>
      <c r="E66" s="85">
        <f t="shared" si="42"/>
        <v>-2.6121894149134635</v>
      </c>
      <c r="F66" s="130">
        <f t="shared" si="39"/>
        <v>0.00040943919522399316</v>
      </c>
      <c r="G66" s="85">
        <v>3372.789896670494</v>
      </c>
      <c r="H66" s="85">
        <f t="shared" si="40"/>
        <v>-2.472010711748427</v>
      </c>
      <c r="I66" s="85">
        <v>3372.789896670494</v>
      </c>
      <c r="J66" s="130">
        <f t="shared" si="41"/>
        <v>0.00029649045171392587</v>
      </c>
      <c r="K66" s="85">
        <f t="shared" si="43"/>
        <v>-2.472010711748427</v>
      </c>
      <c r="L66" s="89">
        <v>-20.47</v>
      </c>
      <c r="M66" s="90">
        <v>-22.42</v>
      </c>
      <c r="N66" s="91">
        <v>-22.58</v>
      </c>
    </row>
    <row r="67" spans="1:14" ht="15">
      <c r="A67" s="78">
        <v>39589</v>
      </c>
      <c r="B67" s="83">
        <v>77</v>
      </c>
      <c r="C67" s="84">
        <v>5422.665148063781</v>
      </c>
      <c r="D67" s="130">
        <f t="shared" si="38"/>
        <v>0.0001844111654869673</v>
      </c>
      <c r="E67" s="85">
        <f t="shared" si="42"/>
        <v>-2.2657872126101046</v>
      </c>
      <c r="F67" s="130">
        <f t="shared" si="39"/>
        <v>0.00018441116548696736</v>
      </c>
      <c r="G67" s="85">
        <v>8076.3097949886105</v>
      </c>
      <c r="H67" s="85">
        <f t="shared" si="40"/>
        <v>-2.0927870305315652</v>
      </c>
      <c r="I67" s="85">
        <v>3345.8997722095673</v>
      </c>
      <c r="J67" s="130">
        <f t="shared" si="41"/>
        <v>0.00029887326820301596</v>
      </c>
      <c r="K67" s="85">
        <f t="shared" si="43"/>
        <v>-2.475487072646866</v>
      </c>
      <c r="L67" s="89">
        <v>-21.26</v>
      </c>
      <c r="M67" s="90">
        <v>-22.33</v>
      </c>
      <c r="N67" s="91">
        <v>-22.5</v>
      </c>
    </row>
    <row r="68" spans="1:14" ht="15">
      <c r="A68" s="78">
        <v>39620</v>
      </c>
      <c r="B68" s="83">
        <v>78</v>
      </c>
      <c r="C68" s="84">
        <v>8971.63677130045</v>
      </c>
      <c r="D68" s="130">
        <f t="shared" si="38"/>
        <v>0.00011146238144626188</v>
      </c>
      <c r="E68" s="85">
        <f t="shared" si="42"/>
        <v>-2.0471283177254014</v>
      </c>
      <c r="F68" s="130">
        <f t="shared" si="39"/>
        <v>0.00011146238144626204</v>
      </c>
      <c r="G68" s="85">
        <v>11356.502242152466</v>
      </c>
      <c r="H68" s="85">
        <f t="shared" si="40"/>
        <v>-1.9447554090158428</v>
      </c>
      <c r="I68" s="85">
        <v>2725.560538116592</v>
      </c>
      <c r="J68" s="130">
        <f t="shared" si="41"/>
        <v>0.00036689700559394537</v>
      </c>
      <c r="K68" s="85">
        <f t="shared" si="43"/>
        <v>-2.564544167304237</v>
      </c>
      <c r="L68" s="89">
        <v>-22.73</v>
      </c>
      <c r="M68" s="90">
        <v>-22.75</v>
      </c>
      <c r="N68" s="91">
        <v>-22.31</v>
      </c>
    </row>
    <row r="69" spans="1:14" ht="15">
      <c r="A69" s="78">
        <v>39650</v>
      </c>
      <c r="B69" s="83">
        <v>79</v>
      </c>
      <c r="C69" s="84">
        <v>8260.022650056626</v>
      </c>
      <c r="D69" s="130">
        <f t="shared" si="38"/>
        <v>0.00012106504332565535</v>
      </c>
      <c r="E69" s="85">
        <f t="shared" si="42"/>
        <v>-2.0830187617860196</v>
      </c>
      <c r="F69" s="130">
        <f t="shared" si="39"/>
        <v>0.00012106504332565543</v>
      </c>
      <c r="G69" s="85">
        <v>8604.19026047565</v>
      </c>
      <c r="H69" s="85">
        <f t="shared" si="40"/>
        <v>-2.065289994825588</v>
      </c>
      <c r="I69" s="85">
        <v>3441.6761041902605</v>
      </c>
      <c r="J69" s="130">
        <f t="shared" si="41"/>
        <v>0.0002905561039815729</v>
      </c>
      <c r="K69" s="85">
        <f t="shared" si="43"/>
        <v>-2.4632300034976256</v>
      </c>
      <c r="L69" s="89">
        <v>-23.1</v>
      </c>
      <c r="M69" s="90">
        <v>-23.14</v>
      </c>
      <c r="N69" s="91">
        <v>-22.11</v>
      </c>
    </row>
    <row r="70" spans="1:14" ht="15">
      <c r="A70" s="78">
        <v>39678</v>
      </c>
      <c r="B70" s="83">
        <v>80</v>
      </c>
      <c r="C70" s="84">
        <v>7423.337091319053</v>
      </c>
      <c r="D70" s="130">
        <f t="shared" si="38"/>
        <v>0.00013471030450299946</v>
      </c>
      <c r="E70" s="85">
        <f t="shared" si="42"/>
        <v>-2.1294008178285906</v>
      </c>
      <c r="F70" s="130">
        <f t="shared" si="39"/>
        <v>0.0001347103045029996</v>
      </c>
      <c r="G70" s="85">
        <v>7194.926719278466</v>
      </c>
      <c r="H70" s="85">
        <f t="shared" si="40"/>
        <v>-2.142973625017864</v>
      </c>
      <c r="I70" s="85">
        <v>4225.591882750846</v>
      </c>
      <c r="J70" s="130">
        <f t="shared" si="41"/>
        <v>0.00023665323764040445</v>
      </c>
      <c r="K70" s="85">
        <f t="shared" si="43"/>
        <v>-2.374112450404451</v>
      </c>
      <c r="L70" s="89">
        <v>-23.12</v>
      </c>
      <c r="M70" s="90">
        <v>-23.88</v>
      </c>
      <c r="N70" s="91">
        <v>-22.48</v>
      </c>
    </row>
    <row r="71" spans="1:14" ht="15">
      <c r="A71" s="78">
        <v>39713</v>
      </c>
      <c r="B71" s="83">
        <v>81</v>
      </c>
      <c r="C71" s="84">
        <v>6316.893424036281</v>
      </c>
      <c r="D71" s="130">
        <f t="shared" si="38"/>
        <v>0.00015830566274791348</v>
      </c>
      <c r="E71" s="85">
        <f t="shared" si="42"/>
        <v>-2.1994964502772953</v>
      </c>
      <c r="F71" s="130">
        <f t="shared" si="39"/>
        <v>0.00015830566274791348</v>
      </c>
      <c r="G71" s="85">
        <v>9417.913832199547</v>
      </c>
      <c r="H71" s="85">
        <f t="shared" si="40"/>
        <v>-2.0260452873878227</v>
      </c>
      <c r="I71" s="85">
        <v>10221.8820861678</v>
      </c>
      <c r="J71" s="130">
        <f t="shared" si="41"/>
        <v>9.7829342147587E-05</v>
      </c>
      <c r="K71" s="85">
        <f t="shared" si="43"/>
        <v>-1.9904691331266264</v>
      </c>
      <c r="L71" s="89">
        <v>-23.8</v>
      </c>
      <c r="M71" s="90">
        <v>-24.32</v>
      </c>
      <c r="N71" s="91">
        <v>-23.31</v>
      </c>
    </row>
    <row r="72" spans="1:14" ht="15">
      <c r="A72" s="78">
        <v>39734</v>
      </c>
      <c r="B72" s="83">
        <v>82</v>
      </c>
      <c r="C72" s="84">
        <v>6806.270996640537</v>
      </c>
      <c r="D72" s="130">
        <f t="shared" si="38"/>
        <v>0.00014692333004277724</v>
      </c>
      <c r="E72" s="85">
        <f t="shared" si="42"/>
        <v>-2.1670907631446226</v>
      </c>
      <c r="F72" s="130">
        <f t="shared" si="39"/>
        <v>0.00014692333004277737</v>
      </c>
      <c r="G72" s="85">
        <v>9415.341545352743</v>
      </c>
      <c r="H72" s="85">
        <f t="shared" si="40"/>
        <v>-2.0261639211521922</v>
      </c>
      <c r="I72" s="85">
        <v>10436.282194848824</v>
      </c>
      <c r="J72" s="130">
        <f t="shared" si="41"/>
        <v>9.581956307137646E-05</v>
      </c>
      <c r="K72" s="85">
        <f t="shared" si="43"/>
        <v>-1.9814541861827106</v>
      </c>
      <c r="L72" s="89">
        <v>-23.78</v>
      </c>
      <c r="M72" s="90">
        <v>-25.14</v>
      </c>
      <c r="N72" s="91">
        <v>-25.37</v>
      </c>
    </row>
    <row r="73" spans="1:14" ht="15.75" thickBot="1">
      <c r="A73" s="78">
        <v>39764</v>
      </c>
      <c r="B73" s="83">
        <v>83</v>
      </c>
      <c r="C73" s="92">
        <v>3552.3755656108597</v>
      </c>
      <c r="D73" s="130">
        <f t="shared" si="38"/>
        <v>0.0002815017673470688</v>
      </c>
      <c r="E73" s="85">
        <f t="shared" si="42"/>
        <v>-2.44948112581852</v>
      </c>
      <c r="F73" s="130">
        <f t="shared" si="39"/>
        <v>0.00028150176734706894</v>
      </c>
      <c r="G73" s="93">
        <v>5844.2307692307695</v>
      </c>
      <c r="H73" s="85">
        <f t="shared" si="40"/>
        <v>-2.2332726435548564</v>
      </c>
      <c r="I73" s="93">
        <v>8021.493212669683</v>
      </c>
      <c r="J73" s="130">
        <f t="shared" si="41"/>
        <v>0.00012466506839655902</v>
      </c>
      <c r="K73" s="85">
        <f t="shared" si="43"/>
        <v>-2.095744779638536</v>
      </c>
      <c r="L73" s="89">
        <v>-24.42</v>
      </c>
      <c r="M73" s="90">
        <v>-25.67</v>
      </c>
      <c r="N73" s="91">
        <v>-25.11</v>
      </c>
    </row>
    <row r="74" spans="1:16" ht="15.75" thickBot="1">
      <c r="A74" s="78"/>
      <c r="B74" s="62"/>
      <c r="C74" s="62"/>
      <c r="D74" s="62"/>
      <c r="E74" s="62"/>
      <c r="F74" s="62"/>
      <c r="G74" s="62"/>
      <c r="H74" s="62"/>
      <c r="I74" s="94"/>
      <c r="J74" s="62"/>
      <c r="K74" s="95"/>
      <c r="L74" s="95"/>
      <c r="M74" s="96"/>
      <c r="N74" s="62"/>
      <c r="O74" s="62"/>
      <c r="P74" s="62"/>
    </row>
    <row r="75" spans="1:14" ht="15">
      <c r="A75" s="62"/>
      <c r="B75" s="62"/>
      <c r="C75" s="97">
        <f>AVERAGE(C42:C73)</f>
        <v>5038.1928235817</v>
      </c>
      <c r="D75" s="97"/>
      <c r="G75" s="97">
        <f>AVERAGE(G42:G73)</f>
        <v>5849.593195850594</v>
      </c>
      <c r="H75" s="97"/>
      <c r="I75" s="98">
        <f>AVERAGE(I42:I74)</f>
        <v>4953.421598648414</v>
      </c>
      <c r="J75" s="97"/>
      <c r="K75" s="98"/>
      <c r="L75" s="98">
        <f>AVERAGE(L42:L74)</f>
        <v>-22.26623883333333</v>
      </c>
      <c r="M75" s="98"/>
      <c r="N75" s="99">
        <f>AVERAGE(M42:M74)</f>
        <v>-23.17573583333333</v>
      </c>
    </row>
    <row r="76" spans="1:14" ht="15">
      <c r="A76" s="62"/>
      <c r="B76" s="62"/>
      <c r="C76" s="100">
        <f>STDEV(C42:C73)</f>
        <v>3014.987757230027</v>
      </c>
      <c r="D76" s="100"/>
      <c r="G76" s="100">
        <f>STDEV(G42:G73)</f>
        <v>3287.0378068078426</v>
      </c>
      <c r="H76" s="100"/>
      <c r="I76" s="101">
        <f>STDEV(I42:I74)</f>
        <v>2858.1972599801315</v>
      </c>
      <c r="J76" s="100"/>
      <c r="K76" s="101"/>
      <c r="L76" s="101">
        <f>STDEV(L42:L74)</f>
        <v>1.1861267682372791</v>
      </c>
      <c r="M76" s="101"/>
      <c r="N76" s="102">
        <f>STDEV(M42:M74)</f>
        <v>1.0079956378976724</v>
      </c>
    </row>
    <row r="77" spans="1:14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</sheetData>
  <sheetProtection/>
  <mergeCells count="1">
    <mergeCell ref="C38:G3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PageLayoutView="0" workbookViewId="0" topLeftCell="N4">
      <selection activeCell="F5" sqref="F5"/>
    </sheetView>
  </sheetViews>
  <sheetFormatPr defaultColWidth="9.140625" defaultRowHeight="15"/>
  <cols>
    <col min="3" max="3" width="46.140625" style="0" customWidth="1"/>
    <col min="4" max="4" width="12.140625" style="0" bestFit="1" customWidth="1"/>
    <col min="5" max="5" width="12.00390625" style="0" customWidth="1"/>
    <col min="6" max="6" width="9.8515625" style="0" bestFit="1" customWidth="1"/>
    <col min="7" max="7" width="12.00390625" style="0" bestFit="1" customWidth="1"/>
    <col min="8" max="8" width="12.7109375" style="0" bestFit="1" customWidth="1"/>
    <col min="9" max="9" width="9.28125" style="0" bestFit="1" customWidth="1"/>
    <col min="17" max="17" width="12.00390625" style="0" bestFit="1" customWidth="1"/>
    <col min="20" max="20" width="12.00390625" style="0" bestFit="1" customWidth="1"/>
    <col min="24" max="24" width="12.00390625" style="0" bestFit="1" customWidth="1"/>
  </cols>
  <sheetData>
    <row r="1" ht="15">
      <c r="A1" t="s">
        <v>49</v>
      </c>
    </row>
    <row r="2" spans="5:22" ht="18">
      <c r="E2" s="3" t="s">
        <v>53</v>
      </c>
      <c r="F2">
        <v>-8</v>
      </c>
      <c r="Q2" s="14" t="s">
        <v>78</v>
      </c>
      <c r="R2" s="15"/>
      <c r="S2" s="15"/>
      <c r="T2" s="15"/>
      <c r="U2" s="15"/>
      <c r="V2" s="16"/>
    </row>
    <row r="3" spans="5:22" ht="18">
      <c r="E3" t="s">
        <v>50</v>
      </c>
      <c r="F3">
        <v>380</v>
      </c>
      <c r="Q3" s="17"/>
      <c r="R3" s="18"/>
      <c r="S3" s="18"/>
      <c r="T3" s="18"/>
      <c r="U3" s="18"/>
      <c r="V3" s="19"/>
    </row>
    <row r="4" spans="5:22" ht="18">
      <c r="E4" t="s">
        <v>51</v>
      </c>
      <c r="F4" s="11">
        <v>3800</v>
      </c>
      <c r="Q4" s="17"/>
      <c r="R4" s="18"/>
      <c r="S4" s="18"/>
      <c r="T4" s="18"/>
      <c r="U4" s="18"/>
      <c r="V4" s="19"/>
    </row>
    <row r="5" spans="5:22" ht="18">
      <c r="E5" s="3" t="s">
        <v>52</v>
      </c>
      <c r="F5" s="11">
        <v>-27</v>
      </c>
      <c r="Q5" s="17"/>
      <c r="R5" s="18"/>
      <c r="S5" s="18"/>
      <c r="T5" s="18"/>
      <c r="U5" s="18"/>
      <c r="V5" s="19"/>
    </row>
    <row r="6" spans="5:22" ht="18">
      <c r="E6" s="3" t="s">
        <v>28</v>
      </c>
      <c r="F6" s="26">
        <f>1.0044*F5+F3/F4*(F2-1.0044*F5-4.4)+4.4</f>
        <v>-21.246920000000003</v>
      </c>
      <c r="Q6" s="17"/>
      <c r="R6" s="18"/>
      <c r="S6" s="18"/>
      <c r="T6" s="18"/>
      <c r="U6" s="18"/>
      <c r="V6" s="19"/>
    </row>
    <row r="7" spans="17:22" ht="18">
      <c r="Q7" s="20" t="s">
        <v>82</v>
      </c>
      <c r="R7" s="21"/>
      <c r="S7" s="21"/>
      <c r="T7" s="21"/>
      <c r="U7" s="21"/>
      <c r="V7" s="22"/>
    </row>
    <row r="8" ht="18">
      <c r="E8" t="s">
        <v>77</v>
      </c>
    </row>
    <row r="9" spans="5:6" ht="18">
      <c r="E9" s="3" t="s">
        <v>28</v>
      </c>
      <c r="F9" s="2">
        <f>F6</f>
        <v>-21.246920000000003</v>
      </c>
    </row>
    <row r="10" spans="5:6" ht="18">
      <c r="E10" t="s">
        <v>51</v>
      </c>
      <c r="F10">
        <f>F3*(F2-1.0044*F5-4.4)/(F9-4.4-1.0044*F5)</f>
        <v>3800.000000000003</v>
      </c>
    </row>
    <row r="12" ht="18">
      <c r="E12" s="1" t="s">
        <v>86</v>
      </c>
    </row>
    <row r="13" ht="15">
      <c r="E13" s="1" t="s">
        <v>87</v>
      </c>
    </row>
    <row r="34" spans="1:5" ht="15">
      <c r="A34" s="5" t="s">
        <v>26</v>
      </c>
      <c r="E34" t="s">
        <v>29</v>
      </c>
    </row>
    <row r="35" spans="1:15" ht="18">
      <c r="A35" t="s">
        <v>1</v>
      </c>
      <c r="D35" s="8">
        <f>E35/1000/10000/3600</f>
        <v>2.7777777777777777E-11</v>
      </c>
      <c r="E35" s="6">
        <v>1</v>
      </c>
      <c r="I35" s="6"/>
      <c r="N35" s="3" t="s">
        <v>46</v>
      </c>
      <c r="O35" s="23" t="s">
        <v>47</v>
      </c>
    </row>
    <row r="36" spans="1:15" ht="15">
      <c r="A36" t="s">
        <v>59</v>
      </c>
      <c r="D36" s="6">
        <v>100</v>
      </c>
      <c r="N36">
        <v>0</v>
      </c>
      <c r="O36">
        <f>((N36/1000+1)*D$55)/(1+D$55*(N36/1000+1))</f>
        <v>0.01111213296190705</v>
      </c>
    </row>
    <row r="37" spans="1:15" ht="15">
      <c r="A37" t="s">
        <v>2</v>
      </c>
      <c r="D37" s="6">
        <f>D35/D36</f>
        <v>2.7777777777777774E-13</v>
      </c>
      <c r="N37">
        <v>-6</v>
      </c>
      <c r="O37">
        <f>((N37/1000+1)*D$55)/(1+D$55*(N37/1000+1))</f>
        <v>0.011046196644970663</v>
      </c>
    </row>
    <row r="38" spans="1:15" ht="15">
      <c r="A38" t="s">
        <v>15</v>
      </c>
      <c r="D38" s="9">
        <f>F67</f>
        <v>0.022043617582140417</v>
      </c>
      <c r="N38">
        <v>-8</v>
      </c>
      <c r="O38">
        <f>((N38/1000+1)*D$55)/(1+D$55*(N38/1000+1))</f>
        <v>0.011024215918636504</v>
      </c>
    </row>
    <row r="39" spans="4:15" ht="15">
      <c r="D39" s="9"/>
      <c r="N39">
        <v>-27</v>
      </c>
      <c r="O39">
        <f>((N39/1000+1)*D$55)/(1+D$55*(N39/1000+1))</f>
        <v>0.010815350275413388</v>
      </c>
    </row>
    <row r="40" spans="1:6" ht="15">
      <c r="A40" s="3" t="s">
        <v>3</v>
      </c>
      <c r="D40" s="6">
        <v>-13</v>
      </c>
      <c r="E40" s="3"/>
      <c r="F40">
        <f>((D40/1000+1)*D$55)/(1+D$55*(D40/1000+1))</f>
        <v>0.010969259827760357</v>
      </c>
    </row>
    <row r="41" spans="1:6" ht="15">
      <c r="A41" s="3" t="s">
        <v>4</v>
      </c>
      <c r="C41" t="s">
        <v>6</v>
      </c>
      <c r="D41">
        <v>-8</v>
      </c>
      <c r="F41">
        <f>((D41/1000+1)*D$55)/(1+D$55*(D41/1000+1))</f>
        <v>0.011024215918636504</v>
      </c>
    </row>
    <row r="42" spans="1:6" ht="15">
      <c r="A42" s="3" t="s">
        <v>4</v>
      </c>
      <c r="C42" t="s">
        <v>5</v>
      </c>
      <c r="D42" s="7">
        <v>-6</v>
      </c>
      <c r="E42" t="s">
        <v>14</v>
      </c>
      <c r="F42">
        <f>((D42/1000+1)*D$55)/(1+D$55*(D42/1000+1))</f>
        <v>0.011046196644970663</v>
      </c>
    </row>
    <row r="43" spans="1:5" ht="15">
      <c r="A43" s="3"/>
      <c r="E43" t="s">
        <v>42</v>
      </c>
    </row>
    <row r="44" spans="1:5" ht="15">
      <c r="A44" s="4" t="s">
        <v>7</v>
      </c>
      <c r="D44" s="7">
        <v>350</v>
      </c>
      <c r="E44">
        <f>D44/10^6*D$49</f>
        <v>1.5072879858657243E-08</v>
      </c>
    </row>
    <row r="45" spans="1:8" ht="18">
      <c r="A45" s="4" t="s">
        <v>8</v>
      </c>
      <c r="D45">
        <v>380</v>
      </c>
      <c r="E45">
        <f>D45/10^6*D$49</f>
        <v>1.6364840989399294E-08</v>
      </c>
      <c r="F45" t="s">
        <v>80</v>
      </c>
      <c r="G45" s="108">
        <f>D45/E45</f>
        <v>23220512820.51282</v>
      </c>
      <c r="H45" t="s">
        <v>48</v>
      </c>
    </row>
    <row r="46" spans="1:4" ht="15">
      <c r="A46" s="4" t="s">
        <v>9</v>
      </c>
      <c r="D46">
        <v>10</v>
      </c>
    </row>
    <row r="47" ht="15">
      <c r="A47" s="4"/>
    </row>
    <row r="48" spans="1:4" ht="15">
      <c r="A48" t="s">
        <v>41</v>
      </c>
      <c r="D48">
        <f>1/22400</f>
        <v>4.464285714285714E-05</v>
      </c>
    </row>
    <row r="49" spans="1:4" ht="15">
      <c r="A49" t="s">
        <v>40</v>
      </c>
      <c r="D49">
        <f>D48*D61/D63*D62/D60</f>
        <v>4.3065371024734985E-05</v>
      </c>
    </row>
    <row r="52" ht="15">
      <c r="A52" t="s">
        <v>10</v>
      </c>
    </row>
    <row r="53" ht="15">
      <c r="A53" t="s">
        <v>11</v>
      </c>
    </row>
    <row r="55" spans="1:4" ht="15">
      <c r="A55" t="s">
        <v>12</v>
      </c>
      <c r="D55">
        <f>0.011237</f>
        <v>0.011237</v>
      </c>
    </row>
    <row r="57" ht="15">
      <c r="A57" s="3" t="s">
        <v>13</v>
      </c>
    </row>
    <row r="58" spans="9:17" ht="15">
      <c r="I58" t="s">
        <v>45</v>
      </c>
      <c r="P58" s="13"/>
      <c r="Q58" s="13"/>
    </row>
    <row r="59" spans="1:4" ht="18">
      <c r="A59" t="s">
        <v>17</v>
      </c>
      <c r="D59">
        <v>0.144</v>
      </c>
    </row>
    <row r="60" spans="1:18" ht="15">
      <c r="A60" t="s">
        <v>18</v>
      </c>
      <c r="D60">
        <v>1</v>
      </c>
      <c r="E60" t="s">
        <v>19</v>
      </c>
      <c r="Q60" s="13"/>
      <c r="R60" s="13"/>
    </row>
    <row r="61" spans="1:18" ht="15">
      <c r="A61" t="s">
        <v>20</v>
      </c>
      <c r="D61">
        <v>273</v>
      </c>
      <c r="E61" t="s">
        <v>21</v>
      </c>
      <c r="Q61" s="13"/>
      <c r="R61" s="13"/>
    </row>
    <row r="62" spans="1:18" ht="18">
      <c r="A62" t="s">
        <v>22</v>
      </c>
      <c r="D62" s="6">
        <v>1</v>
      </c>
      <c r="H62" s="24" t="s">
        <v>28</v>
      </c>
      <c r="I62" s="25">
        <f>1000*(1/$D$55*((D37/D$67*(D36*D46-D46^2/2)*D67/D38*F40+E44*F42)/(D37/D67*(D36*D46-D46^2/2)*(1-D67/D38*F40)+E44*(1-F42)))-1)</f>
        <v>-7.13405888454588</v>
      </c>
      <c r="Q62" s="13"/>
      <c r="R62" s="13"/>
    </row>
    <row r="63" spans="1:18" ht="15">
      <c r="A63" t="s">
        <v>23</v>
      </c>
      <c r="D63" s="6">
        <v>283</v>
      </c>
      <c r="F63" t="s">
        <v>37</v>
      </c>
      <c r="R63" s="13"/>
    </row>
    <row r="64" spans="1:25" ht="18">
      <c r="A64" t="s">
        <v>27</v>
      </c>
      <c r="D64">
        <f>D59*(D60/D62*D63/D61)^1.823</f>
        <v>0.15376045607366454</v>
      </c>
      <c r="E64" s="13" t="s">
        <v>38</v>
      </c>
      <c r="F64" s="11">
        <f>K80</f>
        <v>0.1530806776537529</v>
      </c>
      <c r="G64" s="14"/>
      <c r="H64" s="15"/>
      <c r="I64" s="15"/>
      <c r="J64" s="15"/>
      <c r="K64" s="15"/>
      <c r="L64" s="15"/>
      <c r="M64" s="15"/>
      <c r="N64" s="15"/>
      <c r="O64" s="16"/>
      <c r="Q64" s="13"/>
      <c r="R64" s="13"/>
      <c r="X64" s="13"/>
      <c r="Y64" s="13" t="s">
        <v>44</v>
      </c>
    </row>
    <row r="65" spans="1:25" ht="15">
      <c r="A65" t="s">
        <v>24</v>
      </c>
      <c r="D65">
        <v>0.24</v>
      </c>
      <c r="F65">
        <v>0.24</v>
      </c>
      <c r="G65" s="17"/>
      <c r="H65" s="18"/>
      <c r="I65" s="18"/>
      <c r="J65" s="18"/>
      <c r="K65" s="18"/>
      <c r="L65" s="18"/>
      <c r="M65" s="18"/>
      <c r="N65" s="18"/>
      <c r="O65" s="19"/>
      <c r="Q65" s="13"/>
      <c r="R65" s="13"/>
      <c r="X65" s="13"/>
      <c r="Y65" s="13" t="s">
        <v>43</v>
      </c>
    </row>
    <row r="66" spans="1:18" ht="15">
      <c r="A66" t="s">
        <v>25</v>
      </c>
      <c r="D66">
        <v>0.6</v>
      </c>
      <c r="F66">
        <v>0.6</v>
      </c>
      <c r="G66" s="17"/>
      <c r="H66" s="18"/>
      <c r="I66" s="18"/>
      <c r="J66" s="18"/>
      <c r="K66" s="18"/>
      <c r="L66" s="18"/>
      <c r="M66" s="18"/>
      <c r="N66" s="18"/>
      <c r="O66" s="19"/>
      <c r="R66" s="13"/>
    </row>
    <row r="67" spans="1:18" ht="15">
      <c r="A67" t="s">
        <v>16</v>
      </c>
      <c r="D67" s="10">
        <f>D64*D65*D66</f>
        <v>0.02214150567460769</v>
      </c>
      <c r="E67" s="13" t="s">
        <v>38</v>
      </c>
      <c r="F67" s="12">
        <f>F64*F65*F66</f>
        <v>0.022043617582140417</v>
      </c>
      <c r="G67" s="17"/>
      <c r="H67" s="18"/>
      <c r="I67" s="18"/>
      <c r="J67" s="18"/>
      <c r="K67" s="18"/>
      <c r="L67" s="18"/>
      <c r="M67" s="18"/>
      <c r="N67" s="18"/>
      <c r="O67" s="19"/>
      <c r="Q67" s="13"/>
      <c r="R67" s="13"/>
    </row>
    <row r="68" spans="7:18" ht="15">
      <c r="G68" s="17"/>
      <c r="H68" s="18"/>
      <c r="I68" s="18"/>
      <c r="J68" s="18"/>
      <c r="K68" s="18"/>
      <c r="L68" s="18"/>
      <c r="M68" s="18"/>
      <c r="N68" s="18"/>
      <c r="O68" s="19"/>
      <c r="Q68" s="13"/>
      <c r="R68" s="13"/>
    </row>
    <row r="69" spans="7:15" ht="15">
      <c r="G69" s="17"/>
      <c r="H69" s="18"/>
      <c r="I69" s="18"/>
      <c r="J69" s="18"/>
      <c r="K69" s="18"/>
      <c r="L69" s="18"/>
      <c r="M69" s="18"/>
      <c r="N69" s="18"/>
      <c r="O69" s="19"/>
    </row>
    <row r="70" spans="7:18" ht="15">
      <c r="G70" s="17"/>
      <c r="H70" s="18"/>
      <c r="I70" s="18"/>
      <c r="J70" s="18"/>
      <c r="K70" s="18"/>
      <c r="L70" s="18"/>
      <c r="M70" s="18"/>
      <c r="N70" s="18"/>
      <c r="O70" s="19"/>
      <c r="Q70" s="13"/>
      <c r="R70" s="13"/>
    </row>
    <row r="71" spans="7:18" ht="15">
      <c r="G71" s="17"/>
      <c r="H71" s="18"/>
      <c r="I71" s="18"/>
      <c r="J71" s="18"/>
      <c r="K71" s="18"/>
      <c r="L71" s="18"/>
      <c r="M71" s="18"/>
      <c r="N71" s="18"/>
      <c r="O71" s="19"/>
      <c r="Q71" s="13"/>
      <c r="R71" s="13"/>
    </row>
    <row r="72" spans="7:15" ht="15">
      <c r="G72" s="17"/>
      <c r="H72" s="18"/>
      <c r="I72" s="18"/>
      <c r="J72" s="18"/>
      <c r="K72" s="18"/>
      <c r="L72" s="18"/>
      <c r="M72" s="18"/>
      <c r="N72" s="18"/>
      <c r="O72" s="19"/>
    </row>
    <row r="73" spans="7:18" ht="15">
      <c r="G73" s="17"/>
      <c r="H73" s="18"/>
      <c r="I73" s="18"/>
      <c r="J73" s="18"/>
      <c r="K73" s="18"/>
      <c r="L73" s="18"/>
      <c r="M73" s="18"/>
      <c r="N73" s="18"/>
      <c r="O73" s="19"/>
      <c r="Q73" s="13"/>
      <c r="R73" s="13"/>
    </row>
    <row r="74" spans="7:18" ht="15">
      <c r="G74" s="17"/>
      <c r="H74" s="18"/>
      <c r="I74" s="18"/>
      <c r="J74" s="18"/>
      <c r="K74" s="18"/>
      <c r="L74" s="18"/>
      <c r="M74" s="18"/>
      <c r="N74" s="18"/>
      <c r="O74" s="19"/>
      <c r="Q74" s="13"/>
      <c r="R74" s="13"/>
    </row>
    <row r="75" spans="7:15" ht="15">
      <c r="G75" s="17"/>
      <c r="H75" s="18"/>
      <c r="I75" s="18"/>
      <c r="J75" s="18" t="s">
        <v>32</v>
      </c>
      <c r="K75" s="18">
        <v>44</v>
      </c>
      <c r="L75" s="18"/>
      <c r="M75" s="18"/>
      <c r="N75" s="18"/>
      <c r="O75" s="19"/>
    </row>
    <row r="76" spans="7:15" ht="15">
      <c r="G76" s="17"/>
      <c r="H76" s="18"/>
      <c r="I76" s="18"/>
      <c r="J76" s="18" t="s">
        <v>33</v>
      </c>
      <c r="K76" s="18">
        <v>28.97</v>
      </c>
      <c r="L76" s="18"/>
      <c r="M76" s="18"/>
      <c r="N76" s="18"/>
      <c r="O76" s="19"/>
    </row>
    <row r="77" spans="7:15" ht="15">
      <c r="G77" s="17"/>
      <c r="H77" s="18"/>
      <c r="I77" s="18"/>
      <c r="J77" s="18" t="s">
        <v>34</v>
      </c>
      <c r="K77" s="18">
        <v>45</v>
      </c>
      <c r="L77" s="18"/>
      <c r="M77" s="18"/>
      <c r="N77" s="18"/>
      <c r="O77" s="19"/>
    </row>
    <row r="78" spans="7:15" ht="15">
      <c r="G78" s="17"/>
      <c r="H78" s="18"/>
      <c r="I78" s="18"/>
      <c r="J78" s="18" t="s">
        <v>35</v>
      </c>
      <c r="K78" s="18">
        <f>((K75+K76)/(K75*K76)*K77*K76/(K77+K76))^0.5</f>
        <v>1.0044406546295097</v>
      </c>
      <c r="L78" s="18"/>
      <c r="M78" s="18"/>
      <c r="N78" s="18"/>
      <c r="O78" s="19"/>
    </row>
    <row r="79" spans="7:15" ht="15">
      <c r="G79" s="17"/>
      <c r="H79" s="18"/>
      <c r="I79" s="18" t="s">
        <v>36</v>
      </c>
      <c r="J79" s="18" t="s">
        <v>30</v>
      </c>
      <c r="K79" s="18">
        <f>D64</f>
        <v>0.15376045607366454</v>
      </c>
      <c r="L79" s="18"/>
      <c r="M79" s="18"/>
      <c r="N79" s="18"/>
      <c r="O79" s="19"/>
    </row>
    <row r="80" spans="7:15" ht="15">
      <c r="G80" s="17"/>
      <c r="H80" s="18"/>
      <c r="I80" s="18"/>
      <c r="J80" s="18" t="s">
        <v>31</v>
      </c>
      <c r="K80" s="18">
        <f>K79/K78</f>
        <v>0.1530806776537529</v>
      </c>
      <c r="L80" s="18"/>
      <c r="M80" s="18"/>
      <c r="N80" s="18"/>
      <c r="O80" s="19"/>
    </row>
    <row r="81" spans="7:15" ht="15">
      <c r="G81" s="20"/>
      <c r="H81" s="21"/>
      <c r="I81" s="21"/>
      <c r="J81" s="21"/>
      <c r="K81" s="21"/>
      <c r="L81" s="21"/>
      <c r="M81" s="21"/>
      <c r="N81" s="21"/>
      <c r="O81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fairchij</dc:creator>
  <cp:keywords/>
  <dc:description/>
  <cp:lastModifiedBy>ian</cp:lastModifiedBy>
  <cp:lastPrinted>2010-08-29T14:29:39Z</cp:lastPrinted>
  <dcterms:created xsi:type="dcterms:W3CDTF">2009-09-08T13:57:27Z</dcterms:created>
  <dcterms:modified xsi:type="dcterms:W3CDTF">2011-12-28T21:32:48Z</dcterms:modified>
  <cp:category/>
  <cp:version/>
  <cp:contentType/>
  <cp:contentStatus/>
</cp:coreProperties>
</file>