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/>
  <bookViews>
    <workbookView xWindow="-15" yWindow="-15" windowWidth="12720" windowHeight="12300"/>
  </bookViews>
  <sheets>
    <sheet name="Figure 5.15 Sr isotopes" sheetId="35" r:id="rId1"/>
    <sheet name="mixing line calcs" sheetId="29" r:id="rId2"/>
    <sheet name="all data" sheetId="2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K62" i="29"/>
  <c r="K63"/>
  <c r="K64"/>
  <c r="K65"/>
  <c r="K66"/>
  <c r="K67"/>
  <c r="K61"/>
  <c r="F62"/>
  <c r="F63"/>
  <c r="F64"/>
  <c r="F65"/>
  <c r="F66"/>
  <c r="F67"/>
  <c r="E67"/>
  <c r="J66"/>
  <c r="N66" s="1"/>
  <c r="I66"/>
  <c r="H66"/>
  <c r="M66" s="1"/>
  <c r="E66"/>
  <c r="E65"/>
  <c r="O65" s="1"/>
  <c r="N64"/>
  <c r="O64"/>
  <c r="J64"/>
  <c r="I64"/>
  <c r="M64" s="1"/>
  <c r="H64"/>
  <c r="E64"/>
  <c r="E63"/>
  <c r="J62"/>
  <c r="N62" s="1"/>
  <c r="I62"/>
  <c r="H62"/>
  <c r="M62" s="1"/>
  <c r="E62"/>
  <c r="O62" s="1"/>
  <c r="E61"/>
  <c r="O61" s="1"/>
  <c r="E43"/>
  <c r="J42"/>
  <c r="I42"/>
  <c r="H42"/>
  <c r="E42"/>
  <c r="E41"/>
  <c r="N40"/>
  <c r="J40"/>
  <c r="I40"/>
  <c r="M40" s="1"/>
  <c r="H40"/>
  <c r="E40"/>
  <c r="F40" s="1"/>
  <c r="P40" s="1"/>
  <c r="E39"/>
  <c r="J38"/>
  <c r="I38"/>
  <c r="H38"/>
  <c r="E38"/>
  <c r="E37"/>
  <c r="K37" s="1"/>
  <c r="O20"/>
  <c r="O12"/>
  <c r="P12"/>
  <c r="P20"/>
  <c r="E15"/>
  <c r="F15" s="1"/>
  <c r="P15" s="1"/>
  <c r="E16"/>
  <c r="K16" s="1"/>
  <c r="O16" s="1"/>
  <c r="E17"/>
  <c r="F17" s="1"/>
  <c r="P17" s="1"/>
  <c r="E18"/>
  <c r="K18" s="1"/>
  <c r="O18" s="1"/>
  <c r="E19"/>
  <c r="F19" s="1"/>
  <c r="P19" s="1"/>
  <c r="E13"/>
  <c r="F13" s="1"/>
  <c r="P13" s="1"/>
  <c r="E14"/>
  <c r="F14" s="1"/>
  <c r="P14" s="1"/>
  <c r="F16"/>
  <c r="P16" s="1"/>
  <c r="N6" i="23"/>
  <c r="O6"/>
  <c r="Q6"/>
  <c r="R6"/>
  <c r="N7"/>
  <c r="O7"/>
  <c r="Q7"/>
  <c r="R7"/>
  <c r="L13"/>
  <c r="M13"/>
  <c r="N13"/>
  <c r="O13"/>
  <c r="Q13"/>
  <c r="R13"/>
  <c r="L14"/>
  <c r="M14"/>
  <c r="N14"/>
  <c r="O14"/>
  <c r="Q14"/>
  <c r="R14"/>
  <c r="L18"/>
  <c r="M18"/>
  <c r="N18"/>
  <c r="O18"/>
  <c r="Q18"/>
  <c r="R18"/>
  <c r="L19"/>
  <c r="M19"/>
  <c r="N19"/>
  <c r="O19"/>
  <c r="Q19"/>
  <c r="R19"/>
  <c r="L20"/>
  <c r="M20"/>
  <c r="N20"/>
  <c r="O20"/>
  <c r="Q20"/>
  <c r="R20"/>
  <c r="L21"/>
  <c r="M21"/>
  <c r="N21"/>
  <c r="O21"/>
  <c r="Q21"/>
  <c r="R21"/>
  <c r="L22"/>
  <c r="M22"/>
  <c r="N22"/>
  <c r="O22"/>
  <c r="Q22"/>
  <c r="R22"/>
  <c r="L23"/>
  <c r="M23"/>
  <c r="N23"/>
  <c r="O23"/>
  <c r="Q23"/>
  <c r="R23"/>
  <c r="L24"/>
  <c r="M24"/>
  <c r="N24"/>
  <c r="O24"/>
  <c r="Q24"/>
  <c r="R24"/>
  <c r="Z24"/>
  <c r="L26"/>
  <c r="M26"/>
  <c r="N26"/>
  <c r="O26"/>
  <c r="Q26"/>
  <c r="R26"/>
  <c r="L27"/>
  <c r="M27"/>
  <c r="N27"/>
  <c r="O27"/>
  <c r="Q27"/>
  <c r="R27"/>
  <c r="L28"/>
  <c r="M28"/>
  <c r="N28"/>
  <c r="O28"/>
  <c r="Q28"/>
  <c r="R28"/>
  <c r="Z28"/>
  <c r="L29"/>
  <c r="M29"/>
  <c r="N29"/>
  <c r="O29"/>
  <c r="Q29"/>
  <c r="R29"/>
  <c r="L30"/>
  <c r="M30"/>
  <c r="N30"/>
  <c r="O30"/>
  <c r="Q30"/>
  <c r="R30"/>
  <c r="Z30"/>
  <c r="L31"/>
  <c r="M31"/>
  <c r="N31"/>
  <c r="O31"/>
  <c r="Q31"/>
  <c r="R31"/>
  <c r="L32"/>
  <c r="M32"/>
  <c r="N32"/>
  <c r="O32"/>
  <c r="Q32"/>
  <c r="R32"/>
  <c r="L33"/>
  <c r="M33"/>
  <c r="N33"/>
  <c r="O33"/>
  <c r="Q33"/>
  <c r="R33"/>
  <c r="L34"/>
  <c r="M34"/>
  <c r="N34"/>
  <c r="O34"/>
  <c r="Q34"/>
  <c r="R34"/>
  <c r="Z34"/>
  <c r="L35"/>
  <c r="M35"/>
  <c r="N35"/>
  <c r="O35"/>
  <c r="Q35"/>
  <c r="R35"/>
  <c r="L37"/>
  <c r="M37"/>
  <c r="N37"/>
  <c r="O37"/>
  <c r="Q37"/>
  <c r="R37"/>
  <c r="L38"/>
  <c r="M38"/>
  <c r="N38"/>
  <c r="O38"/>
  <c r="Q38"/>
  <c r="R38"/>
  <c r="L39"/>
  <c r="M39"/>
  <c r="N39"/>
  <c r="O39"/>
  <c r="Q39"/>
  <c r="R39"/>
  <c r="L40"/>
  <c r="M40"/>
  <c r="N40"/>
  <c r="O40"/>
  <c r="Q40"/>
  <c r="R40"/>
  <c r="Z40"/>
  <c r="L41"/>
  <c r="M41"/>
  <c r="N41"/>
  <c r="O41"/>
  <c r="Q41"/>
  <c r="R41"/>
  <c r="Z41"/>
  <c r="L42"/>
  <c r="M42"/>
  <c r="N42"/>
  <c r="O42"/>
  <c r="Q42"/>
  <c r="R42"/>
  <c r="Z42"/>
  <c r="L43"/>
  <c r="M43"/>
  <c r="N43"/>
  <c r="O43"/>
  <c r="Q43"/>
  <c r="R43"/>
  <c r="Z43"/>
  <c r="L44"/>
  <c r="M44"/>
  <c r="T44"/>
  <c r="L46"/>
  <c r="L47"/>
  <c r="M47"/>
  <c r="N47"/>
  <c r="O47"/>
  <c r="Q47"/>
  <c r="R47"/>
  <c r="L48"/>
  <c r="M48"/>
  <c r="N48"/>
  <c r="O48"/>
  <c r="Q48"/>
  <c r="R48"/>
  <c r="L49"/>
  <c r="M49"/>
  <c r="N49"/>
  <c r="O49"/>
  <c r="Q49"/>
  <c r="R49"/>
  <c r="L50"/>
  <c r="M50"/>
  <c r="N50"/>
  <c r="O50"/>
  <c r="Q50"/>
  <c r="R50"/>
  <c r="L52"/>
  <c r="M52"/>
  <c r="N52"/>
  <c r="O52"/>
  <c r="Q52"/>
  <c r="R52"/>
  <c r="L53"/>
  <c r="M53"/>
  <c r="N53"/>
  <c r="O53"/>
  <c r="Q53"/>
  <c r="R53"/>
  <c r="L54"/>
  <c r="M54"/>
  <c r="N54"/>
  <c r="O54"/>
  <c r="Q54"/>
  <c r="R54"/>
  <c r="L55"/>
  <c r="M55"/>
  <c r="N55"/>
  <c r="O55"/>
  <c r="R55"/>
  <c r="L56"/>
  <c r="M56"/>
  <c r="N56"/>
  <c r="O56"/>
  <c r="Q56"/>
  <c r="R56"/>
  <c r="L66"/>
  <c r="M66"/>
  <c r="N66"/>
  <c r="O66"/>
  <c r="Q66"/>
  <c r="R66"/>
  <c r="L67"/>
  <c r="M67"/>
  <c r="N67"/>
  <c r="O67"/>
  <c r="Q67"/>
  <c r="R67"/>
  <c r="L68"/>
  <c r="M68"/>
  <c r="N68"/>
  <c r="O68"/>
  <c r="Q68"/>
  <c r="R68"/>
  <c r="L71"/>
  <c r="M71"/>
  <c r="N71"/>
  <c r="O71"/>
  <c r="P71"/>
  <c r="Q71"/>
  <c r="L72"/>
  <c r="M72"/>
  <c r="N72"/>
  <c r="O72"/>
  <c r="P72"/>
  <c r="Q72"/>
  <c r="M73"/>
  <c r="P73"/>
  <c r="L74"/>
  <c r="M74"/>
  <c r="N74"/>
  <c r="O74"/>
  <c r="P74"/>
  <c r="Q74"/>
  <c r="M75"/>
  <c r="P75"/>
  <c r="M76"/>
  <c r="P76"/>
  <c r="L77"/>
  <c r="M77"/>
  <c r="N77"/>
  <c r="O77"/>
  <c r="P77"/>
  <c r="Q77"/>
  <c r="M78"/>
  <c r="P78"/>
  <c r="L79"/>
  <c r="M79"/>
  <c r="L82"/>
  <c r="M82"/>
  <c r="N82"/>
  <c r="O82"/>
  <c r="R82"/>
  <c r="L83"/>
  <c r="M83"/>
  <c r="N83"/>
  <c r="O83"/>
  <c r="Q83"/>
  <c r="R83"/>
  <c r="L84"/>
  <c r="M84"/>
  <c r="N84"/>
  <c r="O84"/>
  <c r="Q84"/>
  <c r="R84"/>
  <c r="L85"/>
  <c r="M85"/>
  <c r="N85"/>
  <c r="O85"/>
  <c r="Q85"/>
  <c r="R85"/>
  <c r="H7" i="29"/>
  <c r="I7"/>
  <c r="J7"/>
  <c r="K7"/>
  <c r="H10"/>
  <c r="I10"/>
  <c r="J10"/>
  <c r="K10"/>
  <c r="M12"/>
  <c r="N12"/>
  <c r="H14"/>
  <c r="I14"/>
  <c r="J14"/>
  <c r="N14" s="1"/>
  <c r="M14"/>
  <c r="H16"/>
  <c r="I16"/>
  <c r="M16" s="1"/>
  <c r="J16"/>
  <c r="N16"/>
  <c r="H18"/>
  <c r="I18"/>
  <c r="J18"/>
  <c r="N18" s="1"/>
  <c r="M18"/>
  <c r="M20"/>
  <c r="N20"/>
  <c r="M25"/>
  <c r="N25"/>
  <c r="O25"/>
  <c r="H26"/>
  <c r="O26" s="1"/>
  <c r="I26"/>
  <c r="J26"/>
  <c r="N26" s="1"/>
  <c r="K26"/>
  <c r="M26"/>
  <c r="M28"/>
  <c r="N28"/>
  <c r="O28"/>
  <c r="H29"/>
  <c r="I29"/>
  <c r="M29" s="1"/>
  <c r="J29"/>
  <c r="N29" s="1"/>
  <c r="K29"/>
  <c r="O29"/>
  <c r="M31"/>
  <c r="N31"/>
  <c r="O31"/>
  <c r="H32"/>
  <c r="O32" s="1"/>
  <c r="I32"/>
  <c r="J32"/>
  <c r="N32" s="1"/>
  <c r="K32"/>
  <c r="M32"/>
  <c r="M36"/>
  <c r="N36"/>
  <c r="O36"/>
  <c r="M44"/>
  <c r="N44"/>
  <c r="O44"/>
  <c r="M46"/>
  <c r="N46"/>
  <c r="O46"/>
  <c r="F47"/>
  <c r="H47"/>
  <c r="O47" s="1"/>
  <c r="I47"/>
  <c r="J47"/>
  <c r="N47" s="1"/>
  <c r="K47"/>
  <c r="M47"/>
  <c r="P47"/>
  <c r="F48"/>
  <c r="H48"/>
  <c r="I48"/>
  <c r="J48"/>
  <c r="K48"/>
  <c r="N48"/>
  <c r="P48"/>
  <c r="F49"/>
  <c r="H49"/>
  <c r="I49"/>
  <c r="M49" s="1"/>
  <c r="J49"/>
  <c r="N49" s="1"/>
  <c r="K49"/>
  <c r="O49"/>
  <c r="P49"/>
  <c r="M50"/>
  <c r="N50"/>
  <c r="O50"/>
  <c r="M52"/>
  <c r="N52"/>
  <c r="O52"/>
  <c r="F53"/>
  <c r="H53"/>
  <c r="I53"/>
  <c r="M53" s="1"/>
  <c r="J53"/>
  <c r="K53"/>
  <c r="O53" s="1"/>
  <c r="N53"/>
  <c r="P53"/>
  <c r="F54"/>
  <c r="H54"/>
  <c r="O54" s="1"/>
  <c r="I54"/>
  <c r="J54"/>
  <c r="N54" s="1"/>
  <c r="K54"/>
  <c r="M54"/>
  <c r="P54"/>
  <c r="F55"/>
  <c r="H55"/>
  <c r="I55"/>
  <c r="J55"/>
  <c r="K55"/>
  <c r="O55" s="1"/>
  <c r="N55"/>
  <c r="P55"/>
  <c r="M56"/>
  <c r="N56"/>
  <c r="O56"/>
  <c r="M60"/>
  <c r="N60"/>
  <c r="O60"/>
  <c r="M68"/>
  <c r="N68"/>
  <c r="O68"/>
  <c r="M70"/>
  <c r="N70"/>
  <c r="O70"/>
  <c r="F71"/>
  <c r="H71"/>
  <c r="I71"/>
  <c r="M71" s="1"/>
  <c r="J71"/>
  <c r="K71"/>
  <c r="O71" s="1"/>
  <c r="N71"/>
  <c r="P71"/>
  <c r="F72"/>
  <c r="H72"/>
  <c r="I72"/>
  <c r="J72"/>
  <c r="N72" s="1"/>
  <c r="K72"/>
  <c r="M72"/>
  <c r="O72"/>
  <c r="P72"/>
  <c r="F73"/>
  <c r="H73"/>
  <c r="I73"/>
  <c r="J73"/>
  <c r="K73"/>
  <c r="O73" s="1"/>
  <c r="N73"/>
  <c r="P73"/>
  <c r="M74"/>
  <c r="N74"/>
  <c r="O74"/>
  <c r="O66" l="1"/>
  <c r="O63"/>
  <c r="O67"/>
  <c r="M73"/>
  <c r="N38"/>
  <c r="M55"/>
  <c r="O48"/>
  <c r="M48"/>
  <c r="F18"/>
  <c r="P18" s="1"/>
  <c r="K13"/>
  <c r="O13" s="1"/>
  <c r="O37"/>
  <c r="M38"/>
  <c r="M42"/>
  <c r="N42"/>
  <c r="F37"/>
  <c r="P37" s="1"/>
  <c r="F43"/>
  <c r="P43" s="1"/>
  <c r="K43"/>
  <c r="O43" s="1"/>
  <c r="K42"/>
  <c r="O42" s="1"/>
  <c r="F42"/>
  <c r="P42" s="1"/>
  <c r="F41"/>
  <c r="P41" s="1"/>
  <c r="K41"/>
  <c r="O41" s="1"/>
  <c r="K40"/>
  <c r="O40" s="1"/>
  <c r="F39"/>
  <c r="P39" s="1"/>
  <c r="K39"/>
  <c r="O39" s="1"/>
  <c r="K38"/>
  <c r="O38" s="1"/>
  <c r="F38"/>
  <c r="P38" s="1"/>
  <c r="K14"/>
  <c r="O14" s="1"/>
  <c r="K15"/>
  <c r="O15" s="1"/>
  <c r="K17"/>
  <c r="O17" s="1"/>
  <c r="K19"/>
  <c r="O19" s="1"/>
  <c r="P65"/>
  <c r="P64"/>
  <c r="P67"/>
  <c r="P66"/>
  <c r="P63"/>
  <c r="F61"/>
  <c r="P61" s="1"/>
  <c r="P62"/>
</calcChain>
</file>

<file path=xl/sharedStrings.xml><?xml version="1.0" encoding="utf-8"?>
<sst xmlns="http://schemas.openxmlformats.org/spreadsheetml/2006/main" count="396" uniqueCount="175">
  <si>
    <t>Ac Ac Blank</t>
  </si>
  <si>
    <t>CT6IE</t>
  </si>
  <si>
    <t>CT9IE</t>
  </si>
  <si>
    <t>CT12IE</t>
  </si>
  <si>
    <t>CRBI Ea</t>
  </si>
  <si>
    <t>CREI Ea</t>
  </si>
  <si>
    <t>CT10 IE</t>
  </si>
  <si>
    <t>CT50 IE</t>
  </si>
  <si>
    <t>CT100 IE</t>
  </si>
  <si>
    <t>NBS987</t>
  </si>
  <si>
    <t>Sample</t>
  </si>
  <si>
    <t>1/Sr</t>
  </si>
  <si>
    <t>K/Sr</t>
  </si>
  <si>
    <t>A2</t>
  </si>
  <si>
    <t>B2</t>
  </si>
  <si>
    <t>C2</t>
  </si>
  <si>
    <t>D2</t>
  </si>
  <si>
    <t>E2</t>
  </si>
  <si>
    <t>F2</t>
  </si>
  <si>
    <t>G2</t>
  </si>
  <si>
    <t>H2</t>
  </si>
  <si>
    <t>I3</t>
  </si>
  <si>
    <t>J2</t>
  </si>
  <si>
    <t>SWS3</t>
  </si>
  <si>
    <t>I5</t>
  </si>
  <si>
    <t>B7</t>
  </si>
  <si>
    <t>C7</t>
  </si>
  <si>
    <t>D7</t>
  </si>
  <si>
    <t>E7</t>
  </si>
  <si>
    <t>F7</t>
  </si>
  <si>
    <t>G7</t>
  </si>
  <si>
    <t>H7</t>
  </si>
  <si>
    <t>A4</t>
  </si>
  <si>
    <t>B4</t>
  </si>
  <si>
    <t>C4</t>
  </si>
  <si>
    <t>D4</t>
  </si>
  <si>
    <t>E4</t>
  </si>
  <si>
    <t>F4</t>
  </si>
  <si>
    <t>SWS4</t>
  </si>
  <si>
    <t>pH 9.0</t>
  </si>
  <si>
    <t>CRBIE</t>
  </si>
  <si>
    <t>pH 8.0</t>
  </si>
  <si>
    <t>Description</t>
  </si>
  <si>
    <t>August 1997:</t>
  </si>
  <si>
    <t>24.01.98</t>
  </si>
  <si>
    <t>29.01.98</t>
  </si>
  <si>
    <t>25.01.98</t>
  </si>
  <si>
    <t>11.08.97</t>
  </si>
  <si>
    <t>Sampling date</t>
  </si>
  <si>
    <t>January 1998:</t>
  </si>
  <si>
    <t>CRSS1</t>
  </si>
  <si>
    <t>CC3-70</t>
  </si>
  <si>
    <t>CC3-105</t>
  </si>
  <si>
    <t>CC3-170</t>
  </si>
  <si>
    <t>CC3-300</t>
  </si>
  <si>
    <t>CC3-350</t>
  </si>
  <si>
    <t>CRL1</t>
  </si>
  <si>
    <t>CRL2</t>
  </si>
  <si>
    <t>CRL3</t>
  </si>
  <si>
    <t>Speleothem:</t>
  </si>
  <si>
    <t>Bedrock:</t>
  </si>
  <si>
    <t>Ca/Sr</t>
  </si>
  <si>
    <t>&lt; 0.25</t>
  </si>
  <si>
    <t>can1</t>
  </si>
  <si>
    <t>ccf241</t>
  </si>
  <si>
    <t>24-2.5-10</t>
  </si>
  <si>
    <t>ccf271</t>
  </si>
  <si>
    <t>F2766</t>
  </si>
  <si>
    <t>27% N, 6% P2O5, 6% K2O</t>
  </si>
  <si>
    <t>Analysis by weight in solution</t>
  </si>
  <si>
    <t>Fertilisers:</t>
  </si>
  <si>
    <t>Site A stalagmite - 70mm from tip</t>
  </si>
  <si>
    <t>Site A stalagmite - 105mm from tip</t>
  </si>
  <si>
    <t>Site A stalagmite - 170mm from tip</t>
  </si>
  <si>
    <t>Site A stalagmite - 350mm from tip</t>
  </si>
  <si>
    <t>Site A stalagmite - 300mm from tip</t>
  </si>
  <si>
    <t xml:space="preserve">Micrite -top of 'Spring' section, SE of cave system </t>
  </si>
  <si>
    <t>Biomicrite -top of quarry section, N of cave system</t>
  </si>
  <si>
    <t>Biomicrite -base of quarry section, N of cave system</t>
  </si>
  <si>
    <t>Ion exchange experiments:</t>
  </si>
  <si>
    <t>Sr  mg/l</t>
  </si>
  <si>
    <t>Ca  mg/l</t>
  </si>
  <si>
    <t>Mg  mg/l</t>
  </si>
  <si>
    <t>Na mg/l</t>
  </si>
  <si>
    <t>K mg/l</t>
  </si>
  <si>
    <t>1000*Mg/Ca</t>
  </si>
  <si>
    <t>1000*Sr/Ca</t>
  </si>
  <si>
    <t>Soil waters:</t>
  </si>
  <si>
    <t>Additional information</t>
  </si>
  <si>
    <t>Drip rate (d/m):</t>
  </si>
  <si>
    <t>Cl  mg/l</t>
  </si>
  <si>
    <t>Karst waters:</t>
  </si>
  <si>
    <t>Leaching experiment:</t>
  </si>
  <si>
    <t>Experimental solvent (ammonium acetate)</t>
  </si>
  <si>
    <t>National Bureau Standard</t>
  </si>
  <si>
    <t>&lt;0.25</t>
  </si>
  <si>
    <t>Fast-dripping stalactite</t>
  </si>
  <si>
    <t>Slow-dripping soda straw</t>
  </si>
  <si>
    <t>Bore-hole pipe</t>
  </si>
  <si>
    <t>Fast-dripping fracture termination</t>
  </si>
  <si>
    <t>Slow-dripping stalactite (CC-3 speleothem site)</t>
  </si>
  <si>
    <t>Variable drip rate sralactite</t>
  </si>
  <si>
    <t>Fracture termination (active only during high recharge)</t>
  </si>
  <si>
    <t>Extracted @c.70cm depth from carbonate-bearing till</t>
  </si>
  <si>
    <t>SWS site carbonate-bearing till (10cm depth)</t>
  </si>
  <si>
    <t>SWS site carbonate-bearing till (50cm depth)</t>
  </si>
  <si>
    <t>Biomicrite bedrock (environs of karst water site B)</t>
  </si>
  <si>
    <t>Bitumenous micrite bedrock (environs of Kw site E)</t>
  </si>
  <si>
    <t>Drainage ditch till site, organic-rich brown earth</t>
  </si>
  <si>
    <t>Drainage ditch till site, carbonate-poor gley</t>
  </si>
  <si>
    <t>Drainage ditch till site, carbonate-poor clay</t>
  </si>
  <si>
    <t>Variable drip rate stalactite</t>
  </si>
  <si>
    <r>
      <t>SWS site carbonate-bearing till, 1 month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0 leachate</t>
    </r>
  </si>
  <si>
    <t>25.06.97</t>
  </si>
  <si>
    <t>06.06.96</t>
  </si>
  <si>
    <t>10.08.97</t>
  </si>
  <si>
    <t>27-N, 2.5-5</t>
  </si>
  <si>
    <t>22.08.97</t>
  </si>
  <si>
    <t>&lt; 0.1</t>
  </si>
  <si>
    <t>&lt; 0.08</t>
  </si>
  <si>
    <t>&lt; 0.2</t>
  </si>
  <si>
    <t>Drips collected around subsurface bore-hole pipe</t>
  </si>
  <si>
    <t>Rain waters:</t>
  </si>
  <si>
    <t>RwI</t>
  </si>
  <si>
    <t>RwD</t>
  </si>
  <si>
    <t>08.97</t>
  </si>
  <si>
    <t>August 1997 composite incident rainfall sample</t>
  </si>
  <si>
    <t>August 1997 composite throughfall rainfall sample</t>
  </si>
  <si>
    <t>Precision</t>
  </si>
  <si>
    <t>Crag Cave strontium isotope data</t>
  </si>
  <si>
    <r>
      <t>87</t>
    </r>
    <r>
      <rPr>
        <b/>
        <sz val="10"/>
        <rFont val="Arial"/>
        <family val="2"/>
      </rPr>
      <t>Sr/</t>
    </r>
    <r>
      <rPr>
        <b/>
        <vertAlign val="superscript"/>
        <sz val="10"/>
        <rFont val="Arial"/>
        <family val="2"/>
      </rPr>
      <t>86</t>
    </r>
    <r>
      <rPr>
        <b/>
        <sz val="10"/>
        <rFont val="Arial"/>
        <family val="2"/>
      </rPr>
      <t xml:space="preserve">Sr </t>
    </r>
  </si>
  <si>
    <r>
      <t>NO</t>
    </r>
    <r>
      <rPr>
        <b/>
        <vertAlign val="subscript"/>
        <sz val="10"/>
        <rFont val="Arial"/>
        <family val="2"/>
      </rPr>
      <t xml:space="preserve">3 </t>
    </r>
    <r>
      <rPr>
        <b/>
        <sz val="10"/>
        <rFont val="Arial"/>
        <family val="2"/>
      </rPr>
      <t xml:space="preserve"> mg/l</t>
    </r>
  </si>
  <si>
    <r>
      <t>PO</t>
    </r>
    <r>
      <rPr>
        <b/>
        <vertAlign val="subscript"/>
        <sz val="10"/>
        <rFont val="Arial"/>
        <family val="2"/>
      </rPr>
      <t xml:space="preserve">4 </t>
    </r>
    <r>
      <rPr>
        <b/>
        <sz val="10"/>
        <rFont val="Arial"/>
        <family val="2"/>
      </rPr>
      <t>mg/l</t>
    </r>
  </si>
  <si>
    <r>
      <t>SO</t>
    </r>
    <r>
      <rPr>
        <b/>
        <vertAlign val="subscript"/>
        <sz val="10"/>
        <rFont val="Arial"/>
        <family val="2"/>
      </rPr>
      <t xml:space="preserve">4  </t>
    </r>
    <r>
      <rPr>
        <b/>
        <sz val="10"/>
        <rFont val="Arial"/>
        <family val="2"/>
      </rPr>
      <t>mg/l</t>
    </r>
  </si>
  <si>
    <t>figures used.</t>
  </si>
  <si>
    <t xml:space="preserve">Median 08/97 </t>
  </si>
  <si>
    <t>-</t>
  </si>
  <si>
    <t>n.a.</t>
  </si>
  <si>
    <t>&lt;0.1</t>
  </si>
  <si>
    <t>&lt;0.2</t>
  </si>
  <si>
    <t>* January sites highlighted in bold italics have the same NBS standards as rainwater</t>
  </si>
  <si>
    <t>&lt;0.001</t>
  </si>
  <si>
    <t>Na/Sr</t>
  </si>
  <si>
    <t>N.B. Bedrock K/Sr and Na/Sr ratios are approximations</t>
  </si>
  <si>
    <t>Ca/Sr corrected for partioning effects during precipitation from solution</t>
  </si>
  <si>
    <t>RwT</t>
  </si>
  <si>
    <t>K/Sr:</t>
  </si>
  <si>
    <t>Na/Sr:</t>
  </si>
  <si>
    <t>Ca/Sr:</t>
  </si>
  <si>
    <t>Actual:</t>
  </si>
  <si>
    <t>Mixing</t>
  </si>
  <si>
    <t>DD till</t>
  </si>
  <si>
    <t>100R, 0DD</t>
  </si>
  <si>
    <t>100DD, 0R</t>
  </si>
  <si>
    <t>50R,50DD</t>
  </si>
  <si>
    <t>75R,25DD</t>
  </si>
  <si>
    <t>75DD,25R</t>
  </si>
  <si>
    <t>Silicate-rainwater:</t>
  </si>
  <si>
    <t>Silicate-bedrock:</t>
  </si>
  <si>
    <t>100DD, 0B</t>
  </si>
  <si>
    <t>100B,0DD</t>
  </si>
  <si>
    <t>75B,25DD</t>
  </si>
  <si>
    <t>50B,50DD</t>
  </si>
  <si>
    <t>75DD,25B</t>
  </si>
  <si>
    <t>Bedrock-rainwater:</t>
  </si>
  <si>
    <t>100B,0R</t>
  </si>
  <si>
    <t>75B,25R</t>
  </si>
  <si>
    <t>50B,50R</t>
  </si>
  <si>
    <t>75R,25B</t>
  </si>
  <si>
    <t>CC3-200</t>
  </si>
  <si>
    <t>CC3-252.5</t>
  </si>
  <si>
    <t>CC3-128.5</t>
  </si>
  <si>
    <t>CC3 -321.5</t>
  </si>
  <si>
    <t>*</t>
  </si>
  <si>
    <t>* N.B. = values for calcite (calculated from values yileded from acid leachates)</t>
  </si>
</sst>
</file>

<file path=xl/styles.xml><?xml version="1.0" encoding="utf-8"?>
<styleSheet xmlns="http://schemas.openxmlformats.org/spreadsheetml/2006/main">
  <numFmts count="3">
    <numFmt numFmtId="164" formatCode="0.000000"/>
    <numFmt numFmtId="165" formatCode="0.0"/>
    <numFmt numFmtId="166" formatCode="0.000"/>
  </numFmts>
  <fonts count="13">
    <font>
      <sz val="10"/>
      <name val="Arial"/>
    </font>
    <font>
      <sz val="10"/>
      <name val="Arial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17" fontId="2" fillId="0" borderId="0" xfId="0" quotePrefix="1" applyNumberFormat="1" applyFont="1"/>
    <xf numFmtId="165" fontId="0" fillId="0" borderId="0" xfId="0" applyNumberFormat="1"/>
    <xf numFmtId="2" fontId="0" fillId="0" borderId="0" xfId="0" applyNumberFormat="1"/>
    <xf numFmtId="0" fontId="4" fillId="0" borderId="0" xfId="0" applyFont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165" fontId="4" fillId="0" borderId="0" xfId="0" applyNumberFormat="1" applyFont="1"/>
    <xf numFmtId="0" fontId="7" fillId="0" borderId="0" xfId="0" applyFont="1"/>
    <xf numFmtId="0" fontId="4" fillId="0" borderId="0" xfId="1" applyFont="1"/>
    <xf numFmtId="164" fontId="4" fillId="0" borderId="0" xfId="0" applyNumberFormat="1" applyFont="1"/>
    <xf numFmtId="17" fontId="8" fillId="0" borderId="0" xfId="0" quotePrefix="1" applyNumberFormat="1" applyFont="1"/>
    <xf numFmtId="0" fontId="8" fillId="0" borderId="0" xfId="0" applyFont="1"/>
    <xf numFmtId="17" fontId="2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166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quotePrefix="1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0" fillId="0" borderId="0" xfId="0" applyAlignme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5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2" fontId="4" fillId="0" borderId="0" xfId="0" quotePrefix="1" applyNumberFormat="1" applyFont="1" applyAlignment="1">
      <alignment horizontal="center"/>
    </xf>
    <xf numFmtId="0" fontId="12" fillId="0" borderId="0" xfId="0" applyFont="1"/>
    <xf numFmtId="164" fontId="4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2" fillId="0" borderId="0" xfId="0" quotePrefix="1" applyNumberFormat="1" applyFont="1"/>
    <xf numFmtId="164" fontId="2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4" fillId="0" borderId="0" xfId="0" applyNumberFormat="1" applyFont="1" applyAlignment="1">
      <alignment horizontal="center" wrapText="1"/>
    </xf>
    <xf numFmtId="166" fontId="2" fillId="0" borderId="0" xfId="0" quotePrefix="1" applyNumberFormat="1" applyFont="1"/>
    <xf numFmtId="166" fontId="2" fillId="0" borderId="0" xfId="0" applyNumberFormat="1" applyFont="1"/>
    <xf numFmtId="166" fontId="7" fillId="0" borderId="0" xfId="0" applyNumberFormat="1" applyFont="1"/>
    <xf numFmtId="166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2" fontId="2" fillId="0" borderId="0" xfId="0" quotePrefix="1" applyNumberFormat="1" applyFont="1"/>
    <xf numFmtId="2" fontId="0" fillId="0" borderId="0" xfId="0" applyNumberFormat="1" applyFont="1" applyFill="1" applyBorder="1" applyAlignment="1"/>
    <xf numFmtId="165" fontId="4" fillId="0" borderId="0" xfId="0" applyNumberFormat="1" applyFont="1" applyAlignment="1">
      <alignment horizontal="center" wrapText="1"/>
    </xf>
    <xf numFmtId="165" fontId="2" fillId="0" borderId="0" xfId="0" quotePrefix="1" applyNumberFormat="1" applyFont="1"/>
    <xf numFmtId="165" fontId="4" fillId="0" borderId="0" xfId="0" quotePrefix="1" applyNumberFormat="1" applyFont="1" applyAlignment="1">
      <alignment horizontal="center"/>
    </xf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</cellXfs>
  <cellStyles count="2">
    <cellStyle name="Normal" xfId="0" builtinId="0"/>
    <cellStyle name="Normal_Sheet1 (2)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167873147190623"/>
          <c:y val="5.7062146892655388E-2"/>
          <c:w val="0.74388142019993153"/>
          <c:h val="0.77570621468926604"/>
        </c:manualLayout>
      </c:layout>
      <c:scatterChart>
        <c:scatterStyle val="lineMarker"/>
        <c:ser>
          <c:idx val="4"/>
          <c:order val="0"/>
          <c:tx>
            <c:v>Ion exchange solution from till</c:v>
          </c:tx>
          <c:spPr>
            <a:ln w="28575">
              <a:noFill/>
            </a:ln>
          </c:spPr>
          <c:marker>
            <c:symbol val="square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'all data'!$Q$47:$Q$49</c:f>
              <c:numCache>
                <c:formatCode>0.0</c:formatCode>
                <c:ptCount val="3"/>
                <c:pt idx="0">
                  <c:v>88</c:v>
                </c:pt>
                <c:pt idx="1">
                  <c:v>78.75</c:v>
                </c:pt>
                <c:pt idx="2">
                  <c:v>20</c:v>
                </c:pt>
              </c:numCache>
            </c:numRef>
          </c:xVal>
          <c:yVal>
            <c:numRef>
              <c:f>'all data'!$T$47:$T$49</c:f>
              <c:numCache>
                <c:formatCode>0.000000</c:formatCode>
                <c:ptCount val="3"/>
                <c:pt idx="0">
                  <c:v>0.711032</c:v>
                </c:pt>
                <c:pt idx="1">
                  <c:v>0.71013400000000004</c:v>
                </c:pt>
                <c:pt idx="2">
                  <c:v>0.71250899999999995</c:v>
                </c:pt>
              </c:numCache>
            </c:numRef>
          </c:yVal>
        </c:ser>
        <c:ser>
          <c:idx val="2"/>
          <c:order val="1"/>
          <c:tx>
            <c:v>Karst water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'all data'!$Q$18:$Q$24</c:f>
              <c:numCache>
                <c:formatCode>0.0</c:formatCode>
                <c:ptCount val="7"/>
                <c:pt idx="0">
                  <c:v>12.315789473684209</c:v>
                </c:pt>
                <c:pt idx="1">
                  <c:v>19.299999999999997</c:v>
                </c:pt>
                <c:pt idx="2">
                  <c:v>28.634333333333334</c:v>
                </c:pt>
                <c:pt idx="3">
                  <c:v>15.020941176470588</c:v>
                </c:pt>
                <c:pt idx="4">
                  <c:v>13.383363636363637</c:v>
                </c:pt>
                <c:pt idx="5">
                  <c:v>23.41988095238095</c:v>
                </c:pt>
                <c:pt idx="6">
                  <c:v>7.0947764705882355</c:v>
                </c:pt>
              </c:numCache>
            </c:numRef>
          </c:xVal>
          <c:yVal>
            <c:numRef>
              <c:f>'all data'!$T$18:$T$24</c:f>
              <c:numCache>
                <c:formatCode>0.000000</c:formatCode>
                <c:ptCount val="7"/>
                <c:pt idx="1">
                  <c:v>0.70889800000000003</c:v>
                </c:pt>
                <c:pt idx="2">
                  <c:v>0.709534</c:v>
                </c:pt>
                <c:pt idx="4">
                  <c:v>0.70932099999999998</c:v>
                </c:pt>
                <c:pt idx="5">
                  <c:v>0.70965999999999996</c:v>
                </c:pt>
                <c:pt idx="6">
                  <c:v>0.70938599999999996</c:v>
                </c:pt>
              </c:numCache>
            </c:numRef>
          </c:yVal>
        </c:ser>
        <c:ser>
          <c:idx val="0"/>
          <c:order val="2"/>
          <c:tx>
            <c:v>Rainwater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'all data'!$Q$6:$Q$7</c:f>
              <c:numCache>
                <c:formatCode>0.0</c:formatCode>
                <c:ptCount val="2"/>
                <c:pt idx="0">
                  <c:v>174.99999999999997</c:v>
                </c:pt>
                <c:pt idx="1">
                  <c:v>1100</c:v>
                </c:pt>
              </c:numCache>
            </c:numRef>
          </c:xVal>
          <c:yVal>
            <c:numRef>
              <c:f>'all data'!$T$6:$T$7</c:f>
              <c:numCache>
                <c:formatCode>0.000000</c:formatCode>
                <c:ptCount val="2"/>
                <c:pt idx="0">
                  <c:v>0.70917399999999997</c:v>
                </c:pt>
                <c:pt idx="1">
                  <c:v>0.70941100000000001</c:v>
                </c:pt>
              </c:numCache>
            </c:numRef>
          </c:yVal>
        </c:ser>
        <c:ser>
          <c:idx val="6"/>
          <c:order val="3"/>
          <c:tx>
            <c:v>Bedrocks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'all data'!$Q$66:$Q$68</c:f>
              <c:numCache>
                <c:formatCode>0.0</c:formatCode>
                <c:ptCount val="3"/>
                <c:pt idx="0">
                  <c:v>0.59171597633136097</c:v>
                </c:pt>
                <c:pt idx="1">
                  <c:v>0.64935064935064934</c:v>
                </c:pt>
                <c:pt idx="2">
                  <c:v>1.3157894736842106</c:v>
                </c:pt>
              </c:numCache>
            </c:numRef>
          </c:xVal>
          <c:yVal>
            <c:numRef>
              <c:f>'all data'!$T$66:$T$68</c:f>
              <c:numCache>
                <c:formatCode>0.000000</c:formatCode>
                <c:ptCount val="3"/>
                <c:pt idx="0">
                  <c:v>0.70797500000000002</c:v>
                </c:pt>
                <c:pt idx="1">
                  <c:v>0.70800399999999997</c:v>
                </c:pt>
                <c:pt idx="2">
                  <c:v>0.70840800000000004</c:v>
                </c:pt>
              </c:numCache>
            </c:numRef>
          </c:yVal>
        </c:ser>
        <c:ser>
          <c:idx val="8"/>
          <c:order val="4"/>
          <c:tx>
            <c:v>Fertiliser</c:v>
          </c:tx>
          <c:spPr>
            <a:ln w="28575">
              <a:noFill/>
            </a:ln>
          </c:spPr>
          <c:marker>
            <c:symbol val="triangle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'all data'!$Q$82:$Q$85</c:f>
              <c:numCache>
                <c:formatCode>0.0</c:formatCode>
                <c:ptCount val="4"/>
                <c:pt idx="1">
                  <c:v>81.488333333333344</c:v>
                </c:pt>
                <c:pt idx="2">
                  <c:v>36.160303030303027</c:v>
                </c:pt>
                <c:pt idx="3">
                  <c:v>305.3075</c:v>
                </c:pt>
              </c:numCache>
            </c:numRef>
          </c:xVal>
          <c:yVal>
            <c:numRef>
              <c:f>'all data'!$T$82:$T$85</c:f>
              <c:numCache>
                <c:formatCode>0.000000</c:formatCode>
                <c:ptCount val="4"/>
                <c:pt idx="0">
                  <c:v>0.70343900000000004</c:v>
                </c:pt>
                <c:pt idx="1">
                  <c:v>0.70343199999999995</c:v>
                </c:pt>
                <c:pt idx="2">
                  <c:v>0.70332499999999998</c:v>
                </c:pt>
                <c:pt idx="3">
                  <c:v>0.70808800000000005</c:v>
                </c:pt>
              </c:numCache>
            </c:numRef>
          </c:yVal>
        </c:ser>
        <c:ser>
          <c:idx val="3"/>
          <c:order val="5"/>
          <c:tx>
            <c:v>Karst water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'all data'!$Q$26:$Q$43</c:f>
              <c:numCache>
                <c:formatCode>0.0</c:formatCode>
                <c:ptCount val="18"/>
                <c:pt idx="0">
                  <c:v>39.43963636363636</c:v>
                </c:pt>
                <c:pt idx="1">
                  <c:v>10.523499999999999</c:v>
                </c:pt>
                <c:pt idx="2">
                  <c:v>17.817299999999999</c:v>
                </c:pt>
                <c:pt idx="3">
                  <c:v>20.343466666666668</c:v>
                </c:pt>
                <c:pt idx="4">
                  <c:v>37.965846153846151</c:v>
                </c:pt>
                <c:pt idx="5">
                  <c:v>35.442</c:v>
                </c:pt>
                <c:pt idx="6">
                  <c:v>22.534666666666666</c:v>
                </c:pt>
                <c:pt idx="7">
                  <c:v>8.5034814814814812</c:v>
                </c:pt>
                <c:pt idx="8">
                  <c:v>32.173999999999999</c:v>
                </c:pt>
                <c:pt idx="9">
                  <c:v>13.950769230769231</c:v>
                </c:pt>
                <c:pt idx="11">
                  <c:v>12.161647058823529</c:v>
                </c:pt>
                <c:pt idx="12">
                  <c:v>17.495578947368422</c:v>
                </c:pt>
                <c:pt idx="13">
                  <c:v>27.468181818181819</c:v>
                </c:pt>
                <c:pt idx="14">
                  <c:v>33.05916666666667</c:v>
                </c:pt>
                <c:pt idx="15">
                  <c:v>30.810727272727274</c:v>
                </c:pt>
                <c:pt idx="16">
                  <c:v>22.285090909090911</c:v>
                </c:pt>
                <c:pt idx="17">
                  <c:v>12.296642857142857</c:v>
                </c:pt>
              </c:numCache>
            </c:numRef>
          </c:xVal>
          <c:yVal>
            <c:numRef>
              <c:f>'all data'!$T$26:$T$43</c:f>
              <c:numCache>
                <c:formatCode>0.000000</c:formatCode>
                <c:ptCount val="18"/>
                <c:pt idx="0">
                  <c:v>0.70922300000000005</c:v>
                </c:pt>
                <c:pt idx="1">
                  <c:v>0.71005799999999997</c:v>
                </c:pt>
                <c:pt idx="2">
                  <c:v>0.70966300000000004</c:v>
                </c:pt>
                <c:pt idx="3">
                  <c:v>0.70945999999999998</c:v>
                </c:pt>
                <c:pt idx="4">
                  <c:v>0.70922099999999999</c:v>
                </c:pt>
                <c:pt idx="7">
                  <c:v>0.71032399999999996</c:v>
                </c:pt>
                <c:pt idx="9">
                  <c:v>0.70989500000000005</c:v>
                </c:pt>
                <c:pt idx="11">
                  <c:v>0.70997100000000002</c:v>
                </c:pt>
                <c:pt idx="12">
                  <c:v>0.709507</c:v>
                </c:pt>
                <c:pt idx="13">
                  <c:v>0.70936399999999999</c:v>
                </c:pt>
                <c:pt idx="14">
                  <c:v>0.70985900000000002</c:v>
                </c:pt>
                <c:pt idx="15">
                  <c:v>0.70943900000000004</c:v>
                </c:pt>
                <c:pt idx="16">
                  <c:v>0.70963600000000004</c:v>
                </c:pt>
                <c:pt idx="17">
                  <c:v>0.71030700000000002</c:v>
                </c:pt>
              </c:numCache>
            </c:numRef>
          </c:yVal>
        </c:ser>
        <c:ser>
          <c:idx val="7"/>
          <c:order val="6"/>
          <c:tx>
            <c:v>CC3 speleothem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xVal>
            <c:numRef>
              <c:f>'all data'!$Q$71:$Q$77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6">
                  <c:v>0</c:v>
                </c:pt>
              </c:numCache>
            </c:numRef>
          </c:xVal>
          <c:yVal>
            <c:numRef>
              <c:f>'all data'!$T$71:$T$77</c:f>
              <c:numCache>
                <c:formatCode>0.000000</c:formatCode>
                <c:ptCount val="7"/>
                <c:pt idx="0">
                  <c:v>0.71132799999999996</c:v>
                </c:pt>
                <c:pt idx="1">
                  <c:v>0.71134200000000003</c:v>
                </c:pt>
                <c:pt idx="2">
                  <c:v>0.71167499999999995</c:v>
                </c:pt>
                <c:pt idx="3">
                  <c:v>0.71181000000000005</c:v>
                </c:pt>
                <c:pt idx="4">
                  <c:v>0.71154899999999999</c:v>
                </c:pt>
                <c:pt idx="5">
                  <c:v>0.711148</c:v>
                </c:pt>
                <c:pt idx="6">
                  <c:v>0.71125499999999997</c:v>
                </c:pt>
              </c:numCache>
            </c:numRef>
          </c:yVal>
        </c:ser>
        <c:ser>
          <c:idx val="9"/>
          <c:order val="7"/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'mixing line calcs'!$O$12:$O$20</c:f>
              <c:numCache>
                <c:formatCode>0.0</c:formatCode>
                <c:ptCount val="9"/>
                <c:pt idx="0">
                  <c:v>1100</c:v>
                </c:pt>
                <c:pt idx="1">
                  <c:v>992</c:v>
                </c:pt>
                <c:pt idx="2">
                  <c:v>722</c:v>
                </c:pt>
                <c:pt idx="3">
                  <c:v>560</c:v>
                </c:pt>
                <c:pt idx="4">
                  <c:v>398</c:v>
                </c:pt>
                <c:pt idx="5">
                  <c:v>236</c:v>
                </c:pt>
                <c:pt idx="6">
                  <c:v>128</c:v>
                </c:pt>
                <c:pt idx="7">
                  <c:v>74</c:v>
                </c:pt>
                <c:pt idx="8">
                  <c:v>20</c:v>
                </c:pt>
              </c:numCache>
            </c:numRef>
          </c:xVal>
          <c:yVal>
            <c:numRef>
              <c:f>'mixing line calcs'!$P$12:$P$20</c:f>
              <c:numCache>
                <c:formatCode>0.000000</c:formatCode>
                <c:ptCount val="9"/>
                <c:pt idx="0">
                  <c:v>0.70941100000000001</c:v>
                </c:pt>
                <c:pt idx="1">
                  <c:v>0.70972080000000004</c:v>
                </c:pt>
                <c:pt idx="2">
                  <c:v>0.71049530000000005</c:v>
                </c:pt>
                <c:pt idx="3">
                  <c:v>0.71096000000000004</c:v>
                </c:pt>
                <c:pt idx="4">
                  <c:v>0.71142470000000002</c:v>
                </c:pt>
                <c:pt idx="5">
                  <c:v>0.71188940000000001</c:v>
                </c:pt>
                <c:pt idx="6">
                  <c:v>0.71219919999999992</c:v>
                </c:pt>
                <c:pt idx="7">
                  <c:v>0.71235409999999988</c:v>
                </c:pt>
                <c:pt idx="8">
                  <c:v>0.71250899999999995</c:v>
                </c:pt>
              </c:numCache>
            </c:numRef>
          </c:yVal>
        </c:ser>
        <c:ser>
          <c:idx val="11"/>
          <c:order val="8"/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'mixing line calcs'!$O$36:$O$44</c:f>
              <c:numCache>
                <c:formatCode>0.0</c:formatCode>
                <c:ptCount val="9"/>
                <c:pt idx="0">
                  <c:v>0.59171597633136097</c:v>
                </c:pt>
                <c:pt idx="1">
                  <c:v>1.5621301775147938</c:v>
                </c:pt>
                <c:pt idx="2">
                  <c:v>3.5029585798816574</c:v>
                </c:pt>
                <c:pt idx="3">
                  <c:v>5.443786982248521</c:v>
                </c:pt>
                <c:pt idx="4">
                  <c:v>8.3550295857988157</c:v>
                </c:pt>
                <c:pt idx="5">
                  <c:v>11.266272189349113</c:v>
                </c:pt>
                <c:pt idx="6">
                  <c:v>14.177514792899409</c:v>
                </c:pt>
                <c:pt idx="7">
                  <c:v>17.088757396449704</c:v>
                </c:pt>
                <c:pt idx="8">
                  <c:v>20</c:v>
                </c:pt>
              </c:numCache>
            </c:numRef>
          </c:xVal>
          <c:yVal>
            <c:numRef>
              <c:f>'mixing line calcs'!$P$36:$P$44</c:f>
              <c:numCache>
                <c:formatCode>0.000000</c:formatCode>
                <c:ptCount val="9"/>
                <c:pt idx="0">
                  <c:v>0.70797500000000002</c:v>
                </c:pt>
                <c:pt idx="1">
                  <c:v>0.70820170000000005</c:v>
                </c:pt>
                <c:pt idx="2">
                  <c:v>0.70865510000000009</c:v>
                </c:pt>
                <c:pt idx="3">
                  <c:v>0.70910849999999992</c:v>
                </c:pt>
                <c:pt idx="4">
                  <c:v>0.70978859999999999</c:v>
                </c:pt>
                <c:pt idx="5">
                  <c:v>0.71046870000000006</c:v>
                </c:pt>
                <c:pt idx="6">
                  <c:v>0.71114879999999991</c:v>
                </c:pt>
                <c:pt idx="7">
                  <c:v>0.71182889999999999</c:v>
                </c:pt>
                <c:pt idx="8">
                  <c:v>0.71250899999999995</c:v>
                </c:pt>
              </c:numCache>
            </c:numRef>
          </c:yVal>
        </c:ser>
        <c:ser>
          <c:idx val="10"/>
          <c:order val="9"/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'mixing line calcs'!$O$60:$O$68</c:f>
              <c:numCache>
                <c:formatCode>0.0</c:formatCode>
                <c:ptCount val="9"/>
                <c:pt idx="0">
                  <c:v>0.59171597633136097</c:v>
                </c:pt>
                <c:pt idx="1">
                  <c:v>110.53254437869819</c:v>
                </c:pt>
                <c:pt idx="2">
                  <c:v>385.38461538461536</c:v>
                </c:pt>
                <c:pt idx="3">
                  <c:v>550.29585798816572</c:v>
                </c:pt>
                <c:pt idx="4">
                  <c:v>715.20710059171597</c:v>
                </c:pt>
                <c:pt idx="5">
                  <c:v>880.11834319526622</c:v>
                </c:pt>
                <c:pt idx="6">
                  <c:v>990.05917159763317</c:v>
                </c:pt>
                <c:pt idx="7">
                  <c:v>1045.0295857988165</c:v>
                </c:pt>
                <c:pt idx="8">
                  <c:v>1100</c:v>
                </c:pt>
              </c:numCache>
            </c:numRef>
          </c:xVal>
          <c:yVal>
            <c:numRef>
              <c:f>'mixing line calcs'!$P$60:$P$68</c:f>
              <c:numCache>
                <c:formatCode>0.000000</c:formatCode>
                <c:ptCount val="9"/>
                <c:pt idx="0">
                  <c:v>0.70791000000000004</c:v>
                </c:pt>
                <c:pt idx="1">
                  <c:v>0.70811860000000004</c:v>
                </c:pt>
                <c:pt idx="2">
                  <c:v>0.70847759999999993</c:v>
                </c:pt>
                <c:pt idx="3">
                  <c:v>0.70869300000000002</c:v>
                </c:pt>
                <c:pt idx="4">
                  <c:v>0.70890839999999999</c:v>
                </c:pt>
                <c:pt idx="5">
                  <c:v>0.70912380000000008</c:v>
                </c:pt>
                <c:pt idx="6">
                  <c:v>0.70926739999999999</c:v>
                </c:pt>
                <c:pt idx="7">
                  <c:v>0.70933920000000006</c:v>
                </c:pt>
                <c:pt idx="8">
                  <c:v>0.70941100000000001</c:v>
                </c:pt>
              </c:numCache>
            </c:numRef>
          </c:yVal>
        </c:ser>
        <c:axId val="72577792"/>
        <c:axId val="72580096"/>
      </c:scatterChart>
      <c:valAx>
        <c:axId val="72577792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800" b="0"/>
                  <a:t>K/Sr, ppm/ppm  </a:t>
                </a:r>
              </a:p>
            </c:rich>
          </c:tx>
          <c:layout>
            <c:manualLayout>
              <c:xMode val="edge"/>
              <c:yMode val="edge"/>
              <c:x val="0.36849362288865928"/>
              <c:y val="0.927683615819209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580096"/>
        <c:crosses val="autoZero"/>
        <c:crossBetween val="midCat"/>
      </c:valAx>
      <c:valAx>
        <c:axId val="725800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800" b="0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87</a:t>
                </a:r>
                <a:r>
                  <a:rPr lang="en-GB" sz="1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Sr/</a:t>
                </a:r>
                <a:r>
                  <a:rPr lang="en-GB" sz="1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86</a:t>
                </a:r>
                <a:r>
                  <a:rPr lang="en-GB" sz="1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Sr</a:t>
                </a:r>
              </a:p>
            </c:rich>
          </c:tx>
          <c:layout>
            <c:manualLayout>
              <c:xMode val="edge"/>
              <c:yMode val="edge"/>
              <c:x val="2.2061358152361269E-2"/>
              <c:y val="0.37457627118644127"/>
            </c:manualLayout>
          </c:layout>
          <c:spPr>
            <a:noFill/>
            <a:ln w="25400">
              <a:noFill/>
            </a:ln>
          </c:spPr>
        </c:title>
        <c:numFmt formatCode="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577792"/>
        <c:crossesAt val="0.1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506377111340918"/>
          <c:y val="0.54011299435028248"/>
          <c:w val="0.27163047225094816"/>
          <c:h val="0.2418079096045196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8575" y="28575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0.7431</cdr:x>
      <cdr:y>0.27843</cdr:y>
    </cdr:from>
    <cdr:to>
      <cdr:x>0.85315</cdr:x>
      <cdr:y>0.44068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4415" y="1564718"/>
          <a:ext cx="1013710" cy="911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Rain (throughfall)</a:t>
          </a:r>
        </a:p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end-member</a:t>
          </a:r>
        </a:p>
      </cdr:txBody>
    </cdr:sp>
  </cdr:relSizeAnchor>
  <cdr:relSizeAnchor xmlns:cdr="http://schemas.openxmlformats.org/drawingml/2006/chartDrawing">
    <cdr:from>
      <cdr:x>0.29375</cdr:x>
      <cdr:y>0.05018</cdr:y>
    </cdr:from>
    <cdr:to>
      <cdr:x>0.42237</cdr:x>
      <cdr:y>0.14017</cdr:y>
    </cdr:to>
    <cdr:sp macro="" textlink="">
      <cdr:nvSpPr>
        <cdr:cNvPr id="10249" name="Rectangl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5608" y="282017"/>
          <a:ext cx="1184733" cy="5057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0.31024</cdr:x>
      <cdr:y>0.08644</cdr:y>
    </cdr:from>
    <cdr:to>
      <cdr:x>0.46846</cdr:x>
      <cdr:y>0.20339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2857500" y="485774"/>
          <a:ext cx="1457325" cy="657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400">
              <a:latin typeface="Arial" pitchFamily="34" charset="0"/>
              <a:cs typeface="Arial" pitchFamily="34" charset="0"/>
            </a:rPr>
            <a:t>Silicate (till) end-member</a:t>
          </a:r>
        </a:p>
      </cdr:txBody>
    </cdr:sp>
  </cdr:relSizeAnchor>
  <cdr:relSizeAnchor xmlns:cdr="http://schemas.openxmlformats.org/drawingml/2006/chartDrawing">
    <cdr:from>
      <cdr:x>0.14581</cdr:x>
      <cdr:y>0.35424</cdr:y>
    </cdr:from>
    <cdr:to>
      <cdr:x>0.33713</cdr:x>
      <cdr:y>0.46394</cdr:y>
    </cdr:to>
    <cdr:sp macro="" textlink="">
      <cdr:nvSpPr>
        <cdr:cNvPr id="4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024" y="1990725"/>
          <a:ext cx="1762126" cy="6165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Carbonate (bedrock) end-member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/Documents/caves/old/anna/Crag%20isotope%20data/Fertiliser%20samp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1">
          <cell r="U11">
            <v>0.70343900000000004</v>
          </cell>
          <cell r="V11">
            <v>4.5454545454545459</v>
          </cell>
          <cell r="W11">
            <v>0</v>
          </cell>
          <cell r="X11">
            <v>44.772636363636366</v>
          </cell>
        </row>
        <row r="12">
          <cell r="U12">
            <v>0.70343199999999995</v>
          </cell>
          <cell r="V12">
            <v>3.3333333333333335</v>
          </cell>
          <cell r="W12">
            <v>81.488333333333344</v>
          </cell>
          <cell r="X12">
            <v>10.375233333333334</v>
          </cell>
        </row>
        <row r="13">
          <cell r="U13">
            <v>0.70332499999999998</v>
          </cell>
          <cell r="V13">
            <v>3.0303030303030303</v>
          </cell>
          <cell r="W13">
            <v>36.160303030303027</v>
          </cell>
          <cell r="X13">
            <v>5.1946060606060609</v>
          </cell>
        </row>
        <row r="14">
          <cell r="U14">
            <v>0.70808800000000005</v>
          </cell>
          <cell r="V14">
            <v>25</v>
          </cell>
          <cell r="W14">
            <v>305.3075</v>
          </cell>
          <cell r="X14">
            <v>27.93375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74"/>
  <sheetViews>
    <sheetView topLeftCell="A3" workbookViewId="0">
      <pane xSplit="2610" ySplit="765" topLeftCell="A32" activePane="bottomRight"/>
      <selection activeCell="R14" sqref="R14"/>
      <selection pane="topRight" activeCell="C3" sqref="C1:E65536"/>
      <selection pane="bottomLeft" activeCell="A39" sqref="A39:IV39"/>
      <selection pane="bottomRight" activeCell="D38" sqref="D38"/>
    </sheetView>
  </sheetViews>
  <sheetFormatPr defaultRowHeight="12.75"/>
  <cols>
    <col min="1" max="1" width="11.42578125" style="12" bestFit="1" customWidth="1"/>
    <col min="2" max="2" width="9.7109375" style="12" customWidth="1"/>
    <col min="3" max="5" width="5.140625" style="12" customWidth="1"/>
    <col min="6" max="6" width="9.5703125" style="12" bestFit="1" customWidth="1"/>
    <col min="7" max="7" width="8.85546875" style="12" customWidth="1"/>
    <col min="8" max="8" width="6.85546875" style="12" customWidth="1"/>
    <col min="9" max="9" width="8.85546875" style="12" customWidth="1"/>
    <col min="10" max="10" width="8.140625" style="12" customWidth="1"/>
    <col min="11" max="11" width="8.7109375" style="12" customWidth="1"/>
    <col min="12" max="12" width="6.85546875" style="12" customWidth="1"/>
    <col min="13" max="13" width="6.5703125" style="12" customWidth="1"/>
    <col min="14" max="14" width="6.7109375" style="12" customWidth="1"/>
    <col min="15" max="15" width="8.85546875" style="12" customWidth="1"/>
    <col min="16" max="16" width="9.140625" style="12"/>
    <col min="17" max="18" width="8.5703125" style="12" customWidth="1"/>
    <col min="19" max="19" width="2.140625" style="12" customWidth="1"/>
    <col min="20" max="20" width="9.140625" style="12"/>
    <col min="21" max="21" width="1.7109375" style="12" customWidth="1"/>
    <col min="22" max="22" width="5.5703125" style="12" customWidth="1"/>
    <col min="23" max="23" width="7.140625" style="12" customWidth="1"/>
    <col min="24" max="24" width="7" style="12" customWidth="1"/>
    <col min="25" max="25" width="6.85546875" style="12" customWidth="1"/>
    <col min="26" max="26" width="11.85546875" style="12" customWidth="1"/>
    <col min="27" max="16384" width="9.140625" style="12"/>
  </cols>
  <sheetData>
    <row r="1" spans="1:38" ht="18">
      <c r="A1" s="34" t="s">
        <v>129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3" spans="1:38" ht="25.5">
      <c r="A3" s="1" t="s">
        <v>10</v>
      </c>
      <c r="B3" s="35" t="s">
        <v>48</v>
      </c>
      <c r="C3" s="35"/>
      <c r="D3" s="35"/>
      <c r="E3" s="35"/>
      <c r="F3" s="36" t="s">
        <v>130</v>
      </c>
      <c r="G3" s="37"/>
      <c r="H3" s="35" t="s">
        <v>80</v>
      </c>
      <c r="I3" s="35" t="s">
        <v>81</v>
      </c>
      <c r="J3" s="35" t="s">
        <v>83</v>
      </c>
      <c r="K3" s="35" t="s">
        <v>84</v>
      </c>
      <c r="L3" s="35"/>
      <c r="M3" s="35" t="s">
        <v>61</v>
      </c>
      <c r="N3" s="35" t="s">
        <v>142</v>
      </c>
      <c r="O3" s="35" t="s">
        <v>12</v>
      </c>
      <c r="P3" s="36" t="s">
        <v>130</v>
      </c>
      <c r="Q3" s="35"/>
      <c r="R3" s="35"/>
      <c r="S3" s="35"/>
      <c r="T3" s="36"/>
      <c r="U3" s="35"/>
      <c r="V3" s="35"/>
      <c r="W3" s="35"/>
      <c r="X3" s="35"/>
      <c r="Y3" s="35"/>
      <c r="Z3" s="35"/>
      <c r="AA3" s="13"/>
      <c r="AB3" s="14"/>
      <c r="AC3" s="14"/>
      <c r="AI3" s="13"/>
      <c r="AK3" s="13"/>
    </row>
    <row r="4" spans="1:38" ht="14.25">
      <c r="A4" s="11"/>
      <c r="B4" s="13"/>
      <c r="C4" s="13"/>
      <c r="D4" s="13"/>
      <c r="E4" s="13"/>
      <c r="F4" s="10"/>
      <c r="G4" s="13"/>
      <c r="H4" s="13"/>
      <c r="I4" s="14"/>
      <c r="J4" s="13"/>
      <c r="K4" s="13"/>
      <c r="L4" s="28"/>
      <c r="M4" s="13"/>
      <c r="N4" s="13"/>
      <c r="O4" s="13"/>
      <c r="P4" s="10"/>
      <c r="Q4" s="13"/>
      <c r="R4" s="13"/>
      <c r="S4" s="13"/>
      <c r="T4" s="10"/>
      <c r="U4" s="13"/>
      <c r="V4" s="13"/>
      <c r="W4" s="13"/>
      <c r="X4" s="13"/>
      <c r="Y4" s="13"/>
      <c r="Z4" s="13"/>
      <c r="AA4" s="13"/>
      <c r="AB4" s="14"/>
      <c r="AC4" s="14"/>
      <c r="AF4" s="31"/>
      <c r="AH4" s="13"/>
      <c r="AI4" s="13"/>
      <c r="AK4" s="13"/>
    </row>
    <row r="5" spans="1:38" ht="14.25">
      <c r="A5" s="11" t="s">
        <v>122</v>
      </c>
      <c r="B5" s="13"/>
      <c r="C5" s="13"/>
      <c r="D5" s="13"/>
      <c r="E5" s="13"/>
      <c r="F5" s="10"/>
      <c r="G5" s="13"/>
      <c r="H5"/>
      <c r="I5"/>
      <c r="J5"/>
      <c r="K5"/>
      <c r="L5"/>
      <c r="M5"/>
      <c r="P5" s="10"/>
      <c r="T5" s="10"/>
      <c r="V5"/>
      <c r="W5"/>
      <c r="X5"/>
      <c r="Y5"/>
      <c r="AA5" s="13"/>
      <c r="AB5" s="14"/>
      <c r="AC5" s="14"/>
      <c r="AF5" s="31"/>
      <c r="AH5" s="13"/>
      <c r="AI5" s="13"/>
      <c r="AK5" s="13"/>
    </row>
    <row r="6" spans="1:38">
      <c r="A6" s="12" t="s">
        <v>145</v>
      </c>
      <c r="B6" s="29" t="s">
        <v>125</v>
      </c>
      <c r="C6" s="13"/>
      <c r="D6" s="13"/>
      <c r="E6" s="13"/>
      <c r="F6" s="42">
        <v>0.70941100000000001</v>
      </c>
      <c r="G6" s="13" t="s">
        <v>149</v>
      </c>
      <c r="H6" s="46">
        <v>1.6E-2</v>
      </c>
      <c r="I6" s="4">
        <v>6.8</v>
      </c>
      <c r="J6" s="4">
        <v>9.1</v>
      </c>
      <c r="K6" s="4">
        <v>17.600000000000001</v>
      </c>
      <c r="L6" s="3"/>
      <c r="M6" s="3"/>
      <c r="N6" s="16"/>
      <c r="O6" s="16"/>
      <c r="P6" s="42">
        <v>0.70941100000000001</v>
      </c>
      <c r="Q6" s="15"/>
      <c r="R6" s="15"/>
      <c r="S6" s="15"/>
      <c r="T6" s="42"/>
      <c r="U6" s="15"/>
      <c r="V6" s="4"/>
      <c r="W6" s="4"/>
      <c r="X6" s="4"/>
      <c r="Y6" s="4"/>
      <c r="Z6" s="32"/>
      <c r="AA6" s="13"/>
      <c r="AB6" s="14"/>
      <c r="AC6" s="14"/>
      <c r="AF6" s="31"/>
      <c r="AH6" s="13"/>
      <c r="AI6" s="13"/>
      <c r="AK6" s="13"/>
    </row>
    <row r="7" spans="1:38">
      <c r="B7" s="29"/>
      <c r="C7" s="13"/>
      <c r="D7" s="13"/>
      <c r="E7" s="13"/>
      <c r="F7" s="42"/>
      <c r="G7" s="13" t="s">
        <v>150</v>
      </c>
      <c r="H7" s="4">
        <f>H6/0.016</f>
        <v>1</v>
      </c>
      <c r="I7" s="4">
        <f>I6/0.016</f>
        <v>425</v>
      </c>
      <c r="J7" s="4">
        <f>J6/0.016</f>
        <v>568.75</v>
      </c>
      <c r="K7" s="4">
        <f>K6/0.016</f>
        <v>1100</v>
      </c>
      <c r="L7" s="3"/>
      <c r="M7" s="3"/>
      <c r="N7" s="16"/>
      <c r="O7" s="16"/>
      <c r="P7" s="42"/>
      <c r="Q7" s="15"/>
      <c r="R7" s="15"/>
      <c r="S7" s="15"/>
      <c r="T7" s="42"/>
      <c r="U7" s="15"/>
      <c r="V7" s="4"/>
      <c r="W7" s="4"/>
      <c r="X7" s="4"/>
      <c r="Y7" s="4"/>
      <c r="Z7" s="32"/>
      <c r="AA7" s="13"/>
      <c r="AB7" s="14"/>
      <c r="AC7" s="14"/>
      <c r="AF7" s="31"/>
      <c r="AH7" s="13"/>
      <c r="AI7" s="13"/>
      <c r="AK7" s="13"/>
    </row>
    <row r="8" spans="1:38">
      <c r="A8" s="11" t="s">
        <v>79</v>
      </c>
      <c r="B8" s="5"/>
      <c r="F8" s="19"/>
      <c r="H8" s="25"/>
      <c r="I8" s="56"/>
      <c r="J8" s="56"/>
      <c r="K8" s="56"/>
      <c r="L8" s="16"/>
      <c r="M8" s="16"/>
      <c r="N8" s="16"/>
      <c r="O8" s="16"/>
      <c r="P8" s="19"/>
      <c r="Q8" s="15"/>
      <c r="R8" s="15"/>
      <c r="S8" s="15"/>
      <c r="T8" s="19"/>
      <c r="U8" s="15"/>
    </row>
    <row r="9" spans="1:38">
      <c r="A9" s="12" t="s">
        <v>3</v>
      </c>
      <c r="B9" s="5"/>
      <c r="F9" s="19">
        <v>0.71250899999999995</v>
      </c>
      <c r="G9" s="13" t="s">
        <v>149</v>
      </c>
      <c r="H9" s="8">
        <v>2.5000000000000001E-2</v>
      </c>
      <c r="I9" s="7">
        <v>2.67</v>
      </c>
      <c r="J9" s="15">
        <v>0.88</v>
      </c>
      <c r="K9" s="7">
        <v>0.5</v>
      </c>
      <c r="L9" s="16"/>
      <c r="M9" s="16"/>
      <c r="N9" s="16"/>
      <c r="O9" s="16"/>
      <c r="P9" s="19">
        <v>0.71250899999999995</v>
      </c>
      <c r="Q9" s="15"/>
      <c r="R9" s="15"/>
      <c r="S9" s="15"/>
      <c r="T9" s="19"/>
      <c r="U9" s="15"/>
      <c r="V9" s="14"/>
      <c r="W9" s="14"/>
      <c r="X9" s="14"/>
      <c r="Y9" s="14"/>
      <c r="Z9" s="5"/>
      <c r="AC9" s="8"/>
      <c r="AD9" s="18"/>
      <c r="AE9" s="7"/>
      <c r="AG9" s="7"/>
    </row>
    <row r="10" spans="1:38">
      <c r="B10" s="5"/>
      <c r="F10" s="19"/>
      <c r="G10" s="13" t="s">
        <v>150</v>
      </c>
      <c r="H10" s="15">
        <f>H9/0.025</f>
        <v>1</v>
      </c>
      <c r="I10" s="15">
        <f>I9/0.025</f>
        <v>106.8</v>
      </c>
      <c r="J10" s="15">
        <f>J9/0.025</f>
        <v>35.199999999999996</v>
      </c>
      <c r="K10" s="15">
        <f>K9/0.025</f>
        <v>20</v>
      </c>
      <c r="L10" s="16"/>
      <c r="M10" s="16"/>
      <c r="N10" s="16"/>
      <c r="O10" s="16"/>
      <c r="P10" s="19"/>
      <c r="Q10" s="15"/>
      <c r="R10" s="15"/>
      <c r="S10" s="15"/>
      <c r="T10" s="19"/>
      <c r="U10" s="15"/>
      <c r="V10" s="14"/>
      <c r="W10" s="14"/>
      <c r="X10" s="14"/>
      <c r="Y10" s="14"/>
    </row>
    <row r="11" spans="1:38">
      <c r="A11" s="11" t="s">
        <v>157</v>
      </c>
      <c r="B11" s="5"/>
      <c r="F11" s="19"/>
      <c r="G11" s="13"/>
      <c r="H11" s="15"/>
      <c r="I11" s="15"/>
      <c r="J11" s="15"/>
      <c r="K11" s="15"/>
      <c r="L11" s="16"/>
      <c r="M11" s="16"/>
      <c r="N11" s="16"/>
      <c r="O11" s="16"/>
      <c r="P11" s="19"/>
      <c r="Q11" s="15"/>
      <c r="R11" s="15"/>
      <c r="S11" s="15"/>
      <c r="T11" s="19"/>
      <c r="U11" s="15"/>
      <c r="V11" s="14"/>
      <c r="W11" s="14"/>
      <c r="X11" s="14"/>
      <c r="Y11" s="14"/>
    </row>
    <row r="12" spans="1:38">
      <c r="A12" s="12" t="s">
        <v>145</v>
      </c>
      <c r="B12" s="5" t="s">
        <v>152</v>
      </c>
      <c r="F12" s="42">
        <v>0.70941100000000001</v>
      </c>
      <c r="G12" s="13"/>
      <c r="H12" s="15">
        <v>1</v>
      </c>
      <c r="I12" s="15">
        <v>425</v>
      </c>
      <c r="J12" s="15">
        <v>568.75</v>
      </c>
      <c r="K12" s="15">
        <v>1100</v>
      </c>
      <c r="L12" s="16"/>
      <c r="M12" s="16">
        <f>I12/H12</f>
        <v>425</v>
      </c>
      <c r="N12" s="16">
        <f>J12/H12</f>
        <v>568.75</v>
      </c>
      <c r="O12" s="16">
        <f>K12</f>
        <v>1100</v>
      </c>
      <c r="P12" s="19">
        <f t="shared" ref="P12:P13" si="0">F12</f>
        <v>0.70941100000000001</v>
      </c>
      <c r="Q12" s="15"/>
      <c r="R12" s="15"/>
      <c r="S12" s="15"/>
      <c r="T12" s="19"/>
      <c r="U12" s="15"/>
      <c r="V12" s="14"/>
      <c r="W12" s="14"/>
      <c r="X12" s="14"/>
      <c r="Y12" s="14"/>
    </row>
    <row r="13" spans="1:38">
      <c r="B13" s="5"/>
      <c r="D13" s="12">
        <v>0.9</v>
      </c>
      <c r="E13" s="12">
        <f>1-D13</f>
        <v>9.9999999999999978E-2</v>
      </c>
      <c r="F13" s="19">
        <f>((D13*F$12)+(E13*F$20))</f>
        <v>0.70972080000000004</v>
      </c>
      <c r="G13" s="13"/>
      <c r="H13" s="15"/>
      <c r="I13" s="15"/>
      <c r="J13" s="15"/>
      <c r="K13" s="15">
        <f>((D13*K$12)+(E13*K$20))</f>
        <v>992</v>
      </c>
      <c r="L13" s="16"/>
      <c r="M13" s="16"/>
      <c r="N13" s="16"/>
      <c r="O13" s="16">
        <f>K13</f>
        <v>992</v>
      </c>
      <c r="P13" s="19">
        <f t="shared" si="0"/>
        <v>0.70972080000000004</v>
      </c>
      <c r="Q13" s="15"/>
      <c r="R13" s="15"/>
      <c r="S13" s="15"/>
      <c r="T13" s="19"/>
      <c r="U13" s="15"/>
      <c r="V13" s="14"/>
      <c r="W13" s="14"/>
      <c r="X13" s="14"/>
      <c r="Y13" s="14"/>
    </row>
    <row r="14" spans="1:38">
      <c r="B14" s="5" t="s">
        <v>155</v>
      </c>
      <c r="D14" s="12">
        <v>0.65</v>
      </c>
      <c r="E14" s="12">
        <f>1-D14</f>
        <v>0.35</v>
      </c>
      <c r="F14" s="19">
        <f>((D14*F$12)+(E14*F$20))</f>
        <v>0.71049530000000005</v>
      </c>
      <c r="G14" s="19"/>
      <c r="H14" s="15">
        <f>((0.75*H12)+(0.25*H20))</f>
        <v>1</v>
      </c>
      <c r="I14" s="15">
        <f>((0.75*I12)+(0.25*I20))</f>
        <v>345.45</v>
      </c>
      <c r="J14" s="15">
        <f>((0.75*J12)+(0.25*J20))</f>
        <v>435.36250000000001</v>
      </c>
      <c r="K14" s="15">
        <f>((D14*K$12)+(E14*K$20))</f>
        <v>722</v>
      </c>
      <c r="L14" s="16"/>
      <c r="M14" s="16">
        <f>I14/H14</f>
        <v>345.45</v>
      </c>
      <c r="N14" s="16">
        <f>J14/H14</f>
        <v>435.36250000000001</v>
      </c>
      <c r="O14" s="16">
        <f t="shared" ref="O14:O20" si="1">K14</f>
        <v>722</v>
      </c>
      <c r="P14" s="19">
        <f>F14</f>
        <v>0.71049530000000005</v>
      </c>
      <c r="Q14" s="15"/>
      <c r="R14" s="15"/>
      <c r="S14" s="15"/>
      <c r="T14" s="19"/>
      <c r="U14" s="15"/>
      <c r="V14" s="14"/>
      <c r="W14" s="14"/>
      <c r="X14" s="14"/>
      <c r="Y14" s="14"/>
    </row>
    <row r="15" spans="1:38">
      <c r="B15" s="5"/>
      <c r="D15" s="12">
        <v>0.5</v>
      </c>
      <c r="E15" s="12">
        <f t="shared" ref="E15:E19" si="2">1-D15</f>
        <v>0.5</v>
      </c>
      <c r="F15" s="19">
        <f t="shared" ref="F15:F19" si="3">((D15*F$12)+(E15*F$20))</f>
        <v>0.71096000000000004</v>
      </c>
      <c r="G15" s="19"/>
      <c r="H15" s="15"/>
      <c r="I15" s="15"/>
      <c r="J15" s="15"/>
      <c r="K15" s="15">
        <f t="shared" ref="K15:K19" si="4">((D15*K$12)+(E15*K$20))</f>
        <v>560</v>
      </c>
      <c r="L15" s="16"/>
      <c r="M15" s="16"/>
      <c r="N15" s="16"/>
      <c r="O15" s="16">
        <f t="shared" si="1"/>
        <v>560</v>
      </c>
      <c r="P15" s="19">
        <f t="shared" ref="P15:P20" si="5">F15</f>
        <v>0.71096000000000004</v>
      </c>
      <c r="Q15" s="15"/>
      <c r="R15" s="15"/>
      <c r="S15" s="15"/>
      <c r="T15" s="19"/>
      <c r="U15" s="15"/>
      <c r="V15" s="14"/>
      <c r="W15" s="14"/>
      <c r="X15" s="14"/>
      <c r="Y15" s="14"/>
    </row>
    <row r="16" spans="1:38">
      <c r="B16" s="5" t="s">
        <v>154</v>
      </c>
      <c r="D16" s="12">
        <v>0.35</v>
      </c>
      <c r="E16" s="12">
        <f t="shared" si="2"/>
        <v>0.65</v>
      </c>
      <c r="F16" s="19">
        <f t="shared" si="3"/>
        <v>0.71142470000000002</v>
      </c>
      <c r="G16" s="19"/>
      <c r="H16" s="15">
        <f>SUM(H12+H20)/2</f>
        <v>1</v>
      </c>
      <c r="I16" s="15">
        <f>SUM(I12+I20)/2</f>
        <v>265.89999999999998</v>
      </c>
      <c r="J16" s="15">
        <f>SUM(J12+J20)/2</f>
        <v>301.97500000000002</v>
      </c>
      <c r="K16" s="15">
        <f t="shared" si="4"/>
        <v>398</v>
      </c>
      <c r="L16" s="16"/>
      <c r="M16" s="16">
        <f>I16/H16</f>
        <v>265.89999999999998</v>
      </c>
      <c r="N16" s="16">
        <f>J16/H16</f>
        <v>301.97500000000002</v>
      </c>
      <c r="O16" s="16">
        <f t="shared" si="1"/>
        <v>398</v>
      </c>
      <c r="P16" s="19">
        <f t="shared" si="5"/>
        <v>0.71142470000000002</v>
      </c>
      <c r="Q16" s="15"/>
      <c r="R16" s="15"/>
      <c r="S16" s="15"/>
      <c r="T16" s="19"/>
      <c r="U16" s="15"/>
      <c r="V16" s="14"/>
      <c r="W16" s="14"/>
      <c r="X16" s="14"/>
      <c r="Y16" s="14"/>
    </row>
    <row r="17" spans="1:32">
      <c r="B17" s="5"/>
      <c r="D17" s="12">
        <v>0.2</v>
      </c>
      <c r="E17" s="12">
        <f t="shared" si="2"/>
        <v>0.8</v>
      </c>
      <c r="F17" s="19">
        <f t="shared" si="3"/>
        <v>0.71188940000000001</v>
      </c>
      <c r="G17" s="19"/>
      <c r="H17" s="15"/>
      <c r="I17" s="15"/>
      <c r="J17" s="15"/>
      <c r="K17" s="15">
        <f t="shared" si="4"/>
        <v>236</v>
      </c>
      <c r="L17" s="16"/>
      <c r="M17" s="16"/>
      <c r="N17" s="16"/>
      <c r="O17" s="16">
        <f t="shared" si="1"/>
        <v>236</v>
      </c>
      <c r="P17" s="19">
        <f t="shared" si="5"/>
        <v>0.71188940000000001</v>
      </c>
      <c r="Q17" s="15"/>
      <c r="R17" s="15"/>
      <c r="S17" s="15"/>
      <c r="T17" s="19"/>
      <c r="U17" s="15"/>
      <c r="V17" s="14"/>
      <c r="W17" s="14"/>
      <c r="X17" s="14"/>
      <c r="Y17" s="14"/>
    </row>
    <row r="18" spans="1:32">
      <c r="B18" s="5" t="s">
        <v>156</v>
      </c>
      <c r="D18" s="12">
        <v>0.1</v>
      </c>
      <c r="E18" s="12">
        <f t="shared" si="2"/>
        <v>0.9</v>
      </c>
      <c r="F18" s="19">
        <f t="shared" si="3"/>
        <v>0.71219919999999992</v>
      </c>
      <c r="G18" s="15"/>
      <c r="H18" s="15">
        <f>SUM((0.75*H20)+(0.25*H12))</f>
        <v>1</v>
      </c>
      <c r="I18" s="15">
        <f>SUM((0.75*I20)+(0.25*I12))</f>
        <v>186.35</v>
      </c>
      <c r="J18" s="15">
        <f>SUM((0.75*J20)+(0.25*J12))</f>
        <v>168.58750000000001</v>
      </c>
      <c r="K18" s="15">
        <f t="shared" si="4"/>
        <v>128</v>
      </c>
      <c r="L18" s="16"/>
      <c r="M18" s="16">
        <f>I18/H18</f>
        <v>186.35</v>
      </c>
      <c r="N18" s="16">
        <f>J18/H18</f>
        <v>168.58750000000001</v>
      </c>
      <c r="O18" s="16">
        <f t="shared" si="1"/>
        <v>128</v>
      </c>
      <c r="P18" s="19">
        <f t="shared" si="5"/>
        <v>0.71219919999999992</v>
      </c>
      <c r="Q18" s="15"/>
      <c r="R18" s="15"/>
      <c r="S18" s="15"/>
      <c r="T18" s="19"/>
      <c r="U18" s="15"/>
      <c r="V18" s="14"/>
      <c r="W18" s="14"/>
      <c r="X18" s="14"/>
      <c r="Y18" s="14"/>
    </row>
    <row r="19" spans="1:32">
      <c r="B19" s="5"/>
      <c r="D19" s="12">
        <v>0.05</v>
      </c>
      <c r="E19" s="12">
        <f t="shared" si="2"/>
        <v>0.95</v>
      </c>
      <c r="F19" s="19">
        <f t="shared" si="3"/>
        <v>0.71235409999999988</v>
      </c>
      <c r="G19" s="15"/>
      <c r="H19" s="15"/>
      <c r="I19" s="15"/>
      <c r="J19" s="15"/>
      <c r="K19" s="15">
        <f t="shared" si="4"/>
        <v>74</v>
      </c>
      <c r="L19" s="16"/>
      <c r="M19" s="16"/>
      <c r="N19" s="16"/>
      <c r="O19" s="16">
        <f t="shared" si="1"/>
        <v>74</v>
      </c>
      <c r="P19" s="19">
        <f t="shared" si="5"/>
        <v>0.71235409999999988</v>
      </c>
      <c r="Q19" s="15"/>
      <c r="R19" s="15"/>
      <c r="S19" s="15"/>
      <c r="T19" s="19"/>
      <c r="U19" s="15"/>
      <c r="V19" s="14"/>
      <c r="W19" s="14"/>
      <c r="X19" s="14"/>
      <c r="Y19" s="14"/>
    </row>
    <row r="20" spans="1:32">
      <c r="A20" s="12" t="s">
        <v>151</v>
      </c>
      <c r="B20" s="5" t="s">
        <v>153</v>
      </c>
      <c r="F20" s="19">
        <v>0.71250899999999995</v>
      </c>
      <c r="G20" s="13"/>
      <c r="H20" s="15">
        <v>1</v>
      </c>
      <c r="I20" s="15">
        <v>106.8</v>
      </c>
      <c r="J20" s="15">
        <v>35.200000000000003</v>
      </c>
      <c r="K20" s="15">
        <v>20</v>
      </c>
      <c r="L20" s="16"/>
      <c r="M20" s="16">
        <f>I20/H20</f>
        <v>106.8</v>
      </c>
      <c r="N20" s="16">
        <f>J20/H20</f>
        <v>35.200000000000003</v>
      </c>
      <c r="O20" s="16">
        <f t="shared" si="1"/>
        <v>20</v>
      </c>
      <c r="P20" s="19">
        <f t="shared" si="5"/>
        <v>0.71250899999999995</v>
      </c>
      <c r="Q20" s="15"/>
      <c r="R20" s="15"/>
      <c r="S20" s="15"/>
      <c r="T20" s="19"/>
      <c r="U20" s="15"/>
      <c r="V20" s="14"/>
      <c r="W20" s="14"/>
      <c r="X20" s="14"/>
      <c r="Y20" s="14"/>
    </row>
    <row r="21" spans="1:32">
      <c r="B21" s="5"/>
      <c r="F21" s="19"/>
      <c r="G21" s="13"/>
      <c r="H21" s="15"/>
      <c r="I21" s="15"/>
      <c r="J21" s="15"/>
      <c r="K21" s="15"/>
      <c r="L21" s="16"/>
      <c r="M21" s="16"/>
      <c r="N21" s="16"/>
      <c r="O21" s="16"/>
      <c r="P21" s="19"/>
      <c r="Q21" s="15"/>
      <c r="R21" s="15"/>
      <c r="S21" s="15"/>
      <c r="T21" s="19"/>
      <c r="U21" s="15"/>
      <c r="V21" s="14"/>
      <c r="W21" s="14"/>
      <c r="X21" s="14"/>
      <c r="Y21" s="14"/>
    </row>
    <row r="22" spans="1:32">
      <c r="B22" s="5"/>
      <c r="F22" s="19"/>
      <c r="G22" s="13"/>
      <c r="H22" s="15"/>
      <c r="I22" s="15"/>
      <c r="J22" s="15"/>
      <c r="K22" s="15"/>
      <c r="L22" s="16"/>
      <c r="M22" s="16"/>
      <c r="N22" s="16"/>
      <c r="O22" s="16"/>
      <c r="P22" s="19"/>
      <c r="Q22" s="15"/>
      <c r="R22" s="15"/>
      <c r="S22" s="15"/>
      <c r="T22" s="19"/>
      <c r="U22" s="15"/>
      <c r="V22" s="14"/>
      <c r="W22" s="14"/>
      <c r="X22" s="14"/>
      <c r="Y22" s="14"/>
    </row>
    <row r="23" spans="1:32">
      <c r="B23" s="5"/>
      <c r="F23" s="19"/>
      <c r="G23" s="13"/>
      <c r="H23" s="47"/>
      <c r="K23" s="17"/>
      <c r="L23" s="16"/>
      <c r="M23" s="16"/>
      <c r="N23" s="16"/>
      <c r="O23" s="16"/>
      <c r="P23" s="19"/>
      <c r="Q23" s="15"/>
      <c r="R23" s="15"/>
      <c r="S23" s="15"/>
      <c r="T23" s="19"/>
      <c r="U23" s="15"/>
      <c r="V23" s="14"/>
      <c r="W23" s="14"/>
      <c r="X23" s="14"/>
      <c r="Y23" s="14"/>
    </row>
    <row r="24" spans="1:32">
      <c r="A24" s="21" t="s">
        <v>146</v>
      </c>
      <c r="M24" s="16"/>
      <c r="N24" s="16"/>
      <c r="O24" s="16"/>
    </row>
    <row r="25" spans="1:32">
      <c r="A25" s="12" t="s">
        <v>56</v>
      </c>
      <c r="B25" s="5" t="s">
        <v>114</v>
      </c>
      <c r="F25" s="19">
        <v>0.70797500000000002</v>
      </c>
      <c r="G25" s="13" t="s">
        <v>149</v>
      </c>
      <c r="H25" s="47">
        <v>0.16900000000000001</v>
      </c>
      <c r="I25" s="15">
        <v>174</v>
      </c>
      <c r="J25" s="14">
        <v>0.05</v>
      </c>
      <c r="K25" s="14">
        <v>0.1</v>
      </c>
      <c r="L25" s="16"/>
      <c r="M25" s="16">
        <f t="shared" ref="M25:M56" si="6">I25/H25</f>
        <v>1029.5857988165681</v>
      </c>
      <c r="N25" s="16">
        <f t="shared" ref="N25:N56" si="7">J25/H25</f>
        <v>0.29585798816568049</v>
      </c>
      <c r="O25" s="16">
        <f t="shared" ref="O25:O56" si="8">K25/H25</f>
        <v>0.59171597633136097</v>
      </c>
      <c r="P25" s="19"/>
      <c r="Q25" s="40"/>
      <c r="R25" s="40"/>
      <c r="S25" s="40"/>
      <c r="T25" s="19"/>
      <c r="U25" s="40"/>
      <c r="V25" s="14"/>
      <c r="W25" s="14"/>
      <c r="X25" s="14"/>
      <c r="Y25" s="14"/>
      <c r="AF25" s="15"/>
    </row>
    <row r="26" spans="1:32">
      <c r="B26" s="5"/>
      <c r="F26" s="19"/>
      <c r="G26" s="13" t="s">
        <v>150</v>
      </c>
      <c r="H26" s="15">
        <f>H25/0.169</f>
        <v>1</v>
      </c>
      <c r="I26" s="15">
        <f>I25/0.169</f>
        <v>1029.5857988165681</v>
      </c>
      <c r="J26" s="15">
        <f>J25/0.169</f>
        <v>0.29585798816568049</v>
      </c>
      <c r="K26" s="15">
        <f>K25/0.169</f>
        <v>0.59171597633136097</v>
      </c>
      <c r="L26" s="16"/>
      <c r="M26" s="16">
        <f t="shared" si="6"/>
        <v>1029.5857988165681</v>
      </c>
      <c r="N26" s="16">
        <f t="shared" si="7"/>
        <v>0.29585798816568049</v>
      </c>
      <c r="O26" s="16">
        <f t="shared" si="8"/>
        <v>0.59171597633136097</v>
      </c>
      <c r="P26" s="19"/>
      <c r="Q26" s="40"/>
      <c r="R26" s="40"/>
      <c r="S26" s="40"/>
      <c r="T26" s="19"/>
      <c r="U26" s="40"/>
      <c r="V26" s="14"/>
      <c r="W26" s="14"/>
      <c r="X26" s="14"/>
      <c r="Y26" s="14"/>
      <c r="AF26" s="15"/>
    </row>
    <row r="27" spans="1:32">
      <c r="A27" s="21" t="s">
        <v>147</v>
      </c>
      <c r="M27" s="16"/>
      <c r="N27" s="16"/>
      <c r="O27" s="16"/>
    </row>
    <row r="28" spans="1:32">
      <c r="A28" s="12" t="s">
        <v>57</v>
      </c>
      <c r="B28" s="5" t="s">
        <v>114</v>
      </c>
      <c r="F28" s="19">
        <v>0.70800399999999997</v>
      </c>
      <c r="G28" s="13" t="s">
        <v>149</v>
      </c>
      <c r="H28" s="47">
        <v>0.154</v>
      </c>
      <c r="I28" s="15">
        <v>184</v>
      </c>
      <c r="J28" s="14">
        <v>0.05</v>
      </c>
      <c r="K28" s="14">
        <v>0.1</v>
      </c>
      <c r="L28" s="16"/>
      <c r="M28" s="16">
        <f t="shared" si="6"/>
        <v>1194.8051948051948</v>
      </c>
      <c r="N28" s="16">
        <f t="shared" si="7"/>
        <v>0.32467532467532467</v>
      </c>
      <c r="O28" s="16">
        <f t="shared" si="8"/>
        <v>0.64935064935064934</v>
      </c>
      <c r="P28" s="19"/>
      <c r="Q28" s="40"/>
      <c r="R28" s="40"/>
      <c r="S28" s="40"/>
      <c r="T28" s="19"/>
      <c r="U28" s="40"/>
      <c r="V28" s="14"/>
      <c r="W28" s="14"/>
      <c r="X28" s="14"/>
      <c r="Y28" s="14"/>
      <c r="AF28" s="15"/>
    </row>
    <row r="29" spans="1:32">
      <c r="B29" s="5"/>
      <c r="F29" s="19"/>
      <c r="G29" s="13" t="s">
        <v>150</v>
      </c>
      <c r="H29" s="15">
        <f>H28/0.154</f>
        <v>1</v>
      </c>
      <c r="I29" s="15">
        <f>I28/0.154</f>
        <v>1194.8051948051948</v>
      </c>
      <c r="J29" s="15">
        <f>J28/0.154</f>
        <v>0.32467532467532467</v>
      </c>
      <c r="K29" s="15">
        <f>K28/0.154</f>
        <v>0.64935064935064934</v>
      </c>
      <c r="L29" s="16"/>
      <c r="M29" s="16">
        <f t="shared" si="6"/>
        <v>1194.8051948051948</v>
      </c>
      <c r="N29" s="16">
        <f t="shared" si="7"/>
        <v>0.32467532467532467</v>
      </c>
      <c r="O29" s="16">
        <f t="shared" si="8"/>
        <v>0.64935064935064934</v>
      </c>
      <c r="P29" s="19"/>
      <c r="Q29" s="40"/>
      <c r="R29" s="40"/>
      <c r="S29" s="40"/>
      <c r="T29" s="19"/>
      <c r="U29" s="40"/>
      <c r="V29" s="14"/>
      <c r="W29" s="14"/>
      <c r="X29" s="14"/>
      <c r="Y29" s="14"/>
      <c r="AF29" s="15"/>
    </row>
    <row r="30" spans="1:32">
      <c r="A30" s="21" t="s">
        <v>148</v>
      </c>
      <c r="M30" s="16"/>
      <c r="N30" s="16"/>
      <c r="O30" s="16"/>
    </row>
    <row r="31" spans="1:32">
      <c r="A31" s="12" t="s">
        <v>58</v>
      </c>
      <c r="B31" s="5" t="s">
        <v>114</v>
      </c>
      <c r="F31" s="19">
        <v>0.70840800000000004</v>
      </c>
      <c r="G31" s="13" t="s">
        <v>149</v>
      </c>
      <c r="H31" s="47">
        <v>7.5999999999999998E-2</v>
      </c>
      <c r="I31" s="15">
        <v>187</v>
      </c>
      <c r="J31" s="14">
        <v>0.05</v>
      </c>
      <c r="K31" s="14">
        <v>0.1</v>
      </c>
      <c r="L31" s="16"/>
      <c r="M31" s="16">
        <f t="shared" si="6"/>
        <v>2460.5263157894738</v>
      </c>
      <c r="N31" s="16">
        <f t="shared" si="7"/>
        <v>0.65789473684210531</v>
      </c>
      <c r="O31" s="16">
        <f t="shared" si="8"/>
        <v>1.3157894736842106</v>
      </c>
      <c r="P31" s="19"/>
      <c r="Q31" s="40"/>
      <c r="R31" s="40"/>
      <c r="S31" s="40"/>
      <c r="T31" s="19"/>
      <c r="U31" s="40"/>
      <c r="V31" s="14"/>
      <c r="W31" s="14"/>
      <c r="X31" s="14"/>
      <c r="Y31" s="14"/>
      <c r="AF31" s="15"/>
    </row>
    <row r="32" spans="1:32">
      <c r="B32" s="5"/>
      <c r="F32" s="19"/>
      <c r="G32" s="13" t="s">
        <v>150</v>
      </c>
      <c r="H32" s="15">
        <f>H31/0.076</f>
        <v>1</v>
      </c>
      <c r="I32" s="15">
        <f>I31/0.076</f>
        <v>2460.5263157894738</v>
      </c>
      <c r="J32" s="15">
        <f>J31/0.076</f>
        <v>0.65789473684210531</v>
      </c>
      <c r="K32" s="15">
        <f>K31/0.076</f>
        <v>1.3157894736842106</v>
      </c>
      <c r="M32" s="16">
        <f t="shared" si="6"/>
        <v>2460.5263157894738</v>
      </c>
      <c r="N32" s="16">
        <f t="shared" si="7"/>
        <v>0.65789473684210531</v>
      </c>
      <c r="O32" s="16">
        <f t="shared" si="8"/>
        <v>1.3157894736842106</v>
      </c>
      <c r="P32" s="19"/>
      <c r="T32" s="19"/>
    </row>
    <row r="33" spans="1:20">
      <c r="B33" s="5"/>
      <c r="F33" s="19"/>
      <c r="M33" s="16"/>
      <c r="N33" s="16"/>
      <c r="O33" s="16"/>
      <c r="P33" s="19"/>
      <c r="T33" s="19"/>
    </row>
    <row r="34" spans="1:20">
      <c r="A34" s="11" t="s">
        <v>158</v>
      </c>
      <c r="B34" s="5"/>
      <c r="F34" s="19"/>
      <c r="M34" s="16"/>
      <c r="N34" s="16"/>
      <c r="O34" s="16"/>
      <c r="P34" s="19"/>
      <c r="T34" s="19"/>
    </row>
    <row r="35" spans="1:20">
      <c r="A35" s="21" t="s">
        <v>146</v>
      </c>
      <c r="B35" s="5"/>
      <c r="F35" s="19"/>
      <c r="M35" s="16"/>
      <c r="N35" s="16"/>
      <c r="O35" s="16"/>
      <c r="P35" s="19"/>
      <c r="T35" s="19"/>
    </row>
    <row r="36" spans="1:20">
      <c r="A36" s="12" t="s">
        <v>56</v>
      </c>
      <c r="B36" s="5" t="s">
        <v>160</v>
      </c>
      <c r="F36" s="19">
        <v>0.70797500000000002</v>
      </c>
      <c r="H36" s="12">
        <v>1</v>
      </c>
      <c r="I36" s="12">
        <v>1029.5857988165681</v>
      </c>
      <c r="J36" s="12">
        <v>0.29585798816568049</v>
      </c>
      <c r="K36" s="12">
        <v>0.59171597633136097</v>
      </c>
      <c r="M36" s="16">
        <f t="shared" si="6"/>
        <v>1029.5857988165681</v>
      </c>
      <c r="N36" s="16">
        <f t="shared" si="7"/>
        <v>0.29585798816568049</v>
      </c>
      <c r="O36" s="16">
        <f t="shared" si="8"/>
        <v>0.59171597633136097</v>
      </c>
      <c r="P36" s="19">
        <v>0.70797500000000002</v>
      </c>
      <c r="T36" s="19"/>
    </row>
    <row r="37" spans="1:20">
      <c r="B37" s="5"/>
      <c r="D37" s="12">
        <v>0.95</v>
      </c>
      <c r="E37" s="12">
        <f>1-D37</f>
        <v>5.0000000000000044E-2</v>
      </c>
      <c r="F37" s="19">
        <f>((D37*F$36)+(E37*F$44))</f>
        <v>0.70820170000000005</v>
      </c>
      <c r="G37" s="13"/>
      <c r="H37" s="15"/>
      <c r="I37" s="15"/>
      <c r="J37" s="15"/>
      <c r="K37" s="15">
        <f>((D37*K$36)+(E37*K$44))</f>
        <v>1.5621301775147938</v>
      </c>
      <c r="L37" s="16"/>
      <c r="M37" s="16"/>
      <c r="N37" s="16"/>
      <c r="O37" s="16">
        <f>K37</f>
        <v>1.5621301775147938</v>
      </c>
      <c r="P37" s="19">
        <f t="shared" ref="P37" si="9">F37</f>
        <v>0.70820170000000005</v>
      </c>
      <c r="T37" s="19"/>
    </row>
    <row r="38" spans="1:20">
      <c r="B38" s="5"/>
      <c r="D38" s="12">
        <v>0.85</v>
      </c>
      <c r="E38" s="12">
        <f>1-D38</f>
        <v>0.15000000000000002</v>
      </c>
      <c r="F38" s="19">
        <f t="shared" ref="F38:F43" si="10">((D38*F$36)+(E38*F$44))</f>
        <v>0.70865510000000009</v>
      </c>
      <c r="G38" s="19"/>
      <c r="H38" s="15">
        <f>((0.75*H36)+(0.25*H44))</f>
        <v>1</v>
      </c>
      <c r="I38" s="15">
        <f>((0.75*I36)+(0.25*I44))</f>
        <v>798.88934911242609</v>
      </c>
      <c r="J38" s="15">
        <f>((0.75*J36)+(0.25*J44))</f>
        <v>9.0218934911242616</v>
      </c>
      <c r="K38" s="15">
        <f t="shared" ref="K38:K43" si="11">((D38*K$36)+(E38*K$44))</f>
        <v>3.5029585798816574</v>
      </c>
      <c r="L38" s="16"/>
      <c r="M38" s="16">
        <f>I38/H38</f>
        <v>798.88934911242609</v>
      </c>
      <c r="N38" s="16">
        <f>J38/H38</f>
        <v>9.0218934911242616</v>
      </c>
      <c r="O38" s="16">
        <f t="shared" ref="O38:O43" si="12">K38</f>
        <v>3.5029585798816574</v>
      </c>
      <c r="P38" s="19">
        <f>F38</f>
        <v>0.70865510000000009</v>
      </c>
      <c r="T38" s="19"/>
    </row>
    <row r="39" spans="1:20">
      <c r="B39" s="5"/>
      <c r="D39" s="12">
        <v>0.75</v>
      </c>
      <c r="E39" s="12">
        <f t="shared" ref="E39:E43" si="13">1-D39</f>
        <v>0.25</v>
      </c>
      <c r="F39" s="19">
        <f t="shared" si="10"/>
        <v>0.70910849999999992</v>
      </c>
      <c r="G39" s="19"/>
      <c r="H39" s="15"/>
      <c r="I39" s="15"/>
      <c r="J39" s="15"/>
      <c r="K39" s="15">
        <f t="shared" si="11"/>
        <v>5.443786982248521</v>
      </c>
      <c r="L39" s="16"/>
      <c r="M39" s="16"/>
      <c r="N39" s="16"/>
      <c r="O39" s="16">
        <f t="shared" si="12"/>
        <v>5.443786982248521</v>
      </c>
      <c r="P39" s="19">
        <f t="shared" ref="P39:P43" si="14">F39</f>
        <v>0.70910849999999992</v>
      </c>
      <c r="T39" s="19"/>
    </row>
    <row r="40" spans="1:20">
      <c r="B40" s="5"/>
      <c r="D40" s="12">
        <v>0.6</v>
      </c>
      <c r="E40" s="12">
        <f t="shared" si="13"/>
        <v>0.4</v>
      </c>
      <c r="F40" s="19">
        <f t="shared" si="10"/>
        <v>0.70978859999999999</v>
      </c>
      <c r="G40" s="19"/>
      <c r="H40" s="15">
        <f>SUM(H36+H44)/2</f>
        <v>1</v>
      </c>
      <c r="I40" s="15">
        <f>SUM(I36+I44)/2</f>
        <v>568.19289940828401</v>
      </c>
      <c r="J40" s="15">
        <f>SUM(J36+J44)/2</f>
        <v>17.747928994082841</v>
      </c>
      <c r="K40" s="15">
        <f t="shared" si="11"/>
        <v>8.3550295857988157</v>
      </c>
      <c r="L40" s="16"/>
      <c r="M40" s="16">
        <f>I40/H40</f>
        <v>568.19289940828401</v>
      </c>
      <c r="N40" s="16">
        <f>J40/H40</f>
        <v>17.747928994082841</v>
      </c>
      <c r="O40" s="16">
        <f t="shared" si="12"/>
        <v>8.3550295857988157</v>
      </c>
      <c r="P40" s="19">
        <f t="shared" si="14"/>
        <v>0.70978859999999999</v>
      </c>
      <c r="T40" s="19"/>
    </row>
    <row r="41" spans="1:20">
      <c r="B41" s="5" t="s">
        <v>161</v>
      </c>
      <c r="D41" s="12">
        <v>0.45</v>
      </c>
      <c r="E41" s="12">
        <f t="shared" si="13"/>
        <v>0.55000000000000004</v>
      </c>
      <c r="F41" s="19">
        <f t="shared" si="10"/>
        <v>0.71046870000000006</v>
      </c>
      <c r="G41" s="19"/>
      <c r="H41" s="15"/>
      <c r="I41" s="15"/>
      <c r="J41" s="15"/>
      <c r="K41" s="15">
        <f t="shared" si="11"/>
        <v>11.266272189349113</v>
      </c>
      <c r="L41" s="16"/>
      <c r="M41" s="16"/>
      <c r="N41" s="16"/>
      <c r="O41" s="16">
        <f t="shared" si="12"/>
        <v>11.266272189349113</v>
      </c>
      <c r="P41" s="19">
        <f t="shared" si="14"/>
        <v>0.71046870000000006</v>
      </c>
      <c r="T41" s="19"/>
    </row>
    <row r="42" spans="1:20">
      <c r="B42" s="5" t="s">
        <v>162</v>
      </c>
      <c r="D42" s="12">
        <v>0.3</v>
      </c>
      <c r="E42" s="12">
        <f t="shared" si="13"/>
        <v>0.7</v>
      </c>
      <c r="F42" s="19">
        <f t="shared" si="10"/>
        <v>0.71114879999999991</v>
      </c>
      <c r="G42" s="15"/>
      <c r="H42" s="15">
        <f>SUM((0.75*H44)+(0.25*H36))</f>
        <v>1</v>
      </c>
      <c r="I42" s="15">
        <f>SUM((0.75*I44)+(0.25*I36))</f>
        <v>337.49644970414204</v>
      </c>
      <c r="J42" s="15">
        <f>SUM((0.75*J44)+(0.25*J36))</f>
        <v>26.473964497041422</v>
      </c>
      <c r="K42" s="15">
        <f t="shared" si="11"/>
        <v>14.177514792899409</v>
      </c>
      <c r="L42" s="16"/>
      <c r="M42" s="16">
        <f>I42/H42</f>
        <v>337.49644970414204</v>
      </c>
      <c r="N42" s="16">
        <f>J42/H42</f>
        <v>26.473964497041422</v>
      </c>
      <c r="O42" s="16">
        <f t="shared" si="12"/>
        <v>14.177514792899409</v>
      </c>
      <c r="P42" s="19">
        <f t="shared" si="14"/>
        <v>0.71114879999999991</v>
      </c>
      <c r="T42" s="19"/>
    </row>
    <row r="43" spans="1:20">
      <c r="B43" s="5" t="s">
        <v>163</v>
      </c>
      <c r="D43" s="12">
        <v>0.15</v>
      </c>
      <c r="E43" s="12">
        <f t="shared" si="13"/>
        <v>0.85</v>
      </c>
      <c r="F43" s="19">
        <f t="shared" si="10"/>
        <v>0.71182889999999999</v>
      </c>
      <c r="G43" s="15"/>
      <c r="H43" s="15"/>
      <c r="I43" s="15"/>
      <c r="J43" s="15"/>
      <c r="K43" s="15">
        <f t="shared" si="11"/>
        <v>17.088757396449704</v>
      </c>
      <c r="L43" s="16"/>
      <c r="M43" s="16"/>
      <c r="N43" s="16"/>
      <c r="O43" s="16">
        <f t="shared" si="12"/>
        <v>17.088757396449704</v>
      </c>
      <c r="P43" s="19">
        <f t="shared" si="14"/>
        <v>0.71182889999999999</v>
      </c>
      <c r="T43" s="19"/>
    </row>
    <row r="44" spans="1:20">
      <c r="A44" s="12" t="s">
        <v>151</v>
      </c>
      <c r="B44" s="5" t="s">
        <v>159</v>
      </c>
      <c r="F44" s="19">
        <v>0.71250899999999995</v>
      </c>
      <c r="G44" s="13"/>
      <c r="H44" s="15">
        <v>1</v>
      </c>
      <c r="I44" s="15">
        <v>106.8</v>
      </c>
      <c r="J44" s="15">
        <v>35.200000000000003</v>
      </c>
      <c r="K44" s="15">
        <v>20</v>
      </c>
      <c r="M44" s="16">
        <f t="shared" si="6"/>
        <v>106.8</v>
      </c>
      <c r="N44" s="16">
        <f t="shared" si="7"/>
        <v>35.200000000000003</v>
      </c>
      <c r="O44" s="16">
        <f t="shared" si="8"/>
        <v>20</v>
      </c>
      <c r="P44" s="19">
        <v>0.71250899999999995</v>
      </c>
      <c r="T44" s="19"/>
    </row>
    <row r="45" spans="1:20">
      <c r="A45" s="21" t="s">
        <v>147</v>
      </c>
      <c r="B45" s="5"/>
      <c r="F45" s="19"/>
      <c r="M45" s="16"/>
      <c r="N45" s="16"/>
      <c r="O45" s="16"/>
      <c r="P45" s="19"/>
      <c r="T45" s="19"/>
    </row>
    <row r="46" spans="1:20">
      <c r="A46" s="12" t="s">
        <v>57</v>
      </c>
      <c r="B46" s="5" t="s">
        <v>160</v>
      </c>
      <c r="F46" s="19">
        <v>0.70800399999999997</v>
      </c>
      <c r="H46" s="12">
        <v>1</v>
      </c>
      <c r="I46" s="12">
        <v>1194.8051948051948</v>
      </c>
      <c r="J46" s="12">
        <v>0.32467532467532467</v>
      </c>
      <c r="K46" s="12">
        <v>0.64935064935064934</v>
      </c>
      <c r="M46" s="16">
        <f t="shared" si="6"/>
        <v>1194.8051948051948</v>
      </c>
      <c r="N46" s="16">
        <f t="shared" si="7"/>
        <v>0.32467532467532467</v>
      </c>
      <c r="O46" s="16">
        <f t="shared" si="8"/>
        <v>0.64935064935064934</v>
      </c>
      <c r="P46" s="19">
        <v>0.70800399999999997</v>
      </c>
      <c r="T46" s="19"/>
    </row>
    <row r="47" spans="1:20">
      <c r="B47" s="5" t="s">
        <v>161</v>
      </c>
      <c r="F47" s="19">
        <f>((0.75*F46)+(0.25*F50))</f>
        <v>0.70913024999999996</v>
      </c>
      <c r="G47" s="19"/>
      <c r="H47" s="15">
        <f>((0.75*H46)+(0.25*H50))</f>
        <v>1</v>
      </c>
      <c r="I47" s="15">
        <f>((0.75*I46)+(0.25*I50))</f>
        <v>922.80389610389614</v>
      </c>
      <c r="J47" s="15">
        <f>((0.75*J46)+(0.25*J50))</f>
        <v>9.043506493506495</v>
      </c>
      <c r="K47" s="15">
        <f>((0.75*K46)+(0.25*K50))</f>
        <v>5.4870129870129869</v>
      </c>
      <c r="M47" s="16">
        <f t="shared" si="6"/>
        <v>922.80389610389614</v>
      </c>
      <c r="N47" s="16">
        <f t="shared" si="7"/>
        <v>9.043506493506495</v>
      </c>
      <c r="O47" s="16">
        <f t="shared" si="8"/>
        <v>5.4870129870129869</v>
      </c>
      <c r="P47" s="19">
        <f>((0.75*P46)+(0.25*P50))</f>
        <v>0.70913024999999996</v>
      </c>
      <c r="T47" s="19"/>
    </row>
    <row r="48" spans="1:20">
      <c r="B48" s="5" t="s">
        <v>162</v>
      </c>
      <c r="F48" s="19">
        <f>SUM(F46+F50)/2</f>
        <v>0.71025649999999996</v>
      </c>
      <c r="G48" s="19"/>
      <c r="H48" s="15">
        <f>SUM(H46+H50)/2</f>
        <v>1</v>
      </c>
      <c r="I48" s="15">
        <f>SUM(I46+I50)/2</f>
        <v>650.80259740259737</v>
      </c>
      <c r="J48" s="15">
        <f>SUM(J46+J50)/2</f>
        <v>17.762337662337664</v>
      </c>
      <c r="K48" s="15">
        <f>SUM(K46+K50)/2</f>
        <v>10.324675324675324</v>
      </c>
      <c r="M48" s="16">
        <f t="shared" si="6"/>
        <v>650.80259740259737</v>
      </c>
      <c r="N48" s="16">
        <f t="shared" si="7"/>
        <v>17.762337662337664</v>
      </c>
      <c r="O48" s="16">
        <f t="shared" si="8"/>
        <v>10.324675324675324</v>
      </c>
      <c r="P48" s="19">
        <f>SUM(P46+P50)/2</f>
        <v>0.71025649999999996</v>
      </c>
      <c r="T48" s="19"/>
    </row>
    <row r="49" spans="1:20">
      <c r="B49" s="5" t="s">
        <v>163</v>
      </c>
      <c r="F49" s="19">
        <f>SUM((0.75*F50)+(0.25*F46))</f>
        <v>0.71138274999999995</v>
      </c>
      <c r="G49" s="15"/>
      <c r="H49" s="15">
        <f>SUM((0.75*H50)+(0.25*H46))</f>
        <v>1</v>
      </c>
      <c r="I49" s="15">
        <f>SUM((0.75*I50)+(0.25*I46))</f>
        <v>378.80129870129872</v>
      </c>
      <c r="J49" s="15">
        <f>SUM((0.75*J50)+(0.25*J46))</f>
        <v>26.481168831168834</v>
      </c>
      <c r="K49" s="15">
        <f>SUM((0.75*K50)+(0.25*K46))</f>
        <v>15.162337662337663</v>
      </c>
      <c r="M49" s="16">
        <f t="shared" si="6"/>
        <v>378.80129870129872</v>
      </c>
      <c r="N49" s="16">
        <f t="shared" si="7"/>
        <v>26.481168831168834</v>
      </c>
      <c r="O49" s="16">
        <f t="shared" si="8"/>
        <v>15.162337662337663</v>
      </c>
      <c r="P49" s="19">
        <f>SUM((0.75*P50)+(0.25*P46))</f>
        <v>0.71138274999999995</v>
      </c>
      <c r="T49" s="19"/>
    </row>
    <row r="50" spans="1:20">
      <c r="A50" s="12" t="s">
        <v>151</v>
      </c>
      <c r="B50" s="5" t="s">
        <v>159</v>
      </c>
      <c r="F50" s="19">
        <v>0.71250899999999995</v>
      </c>
      <c r="G50" s="13"/>
      <c r="H50" s="15">
        <v>1</v>
      </c>
      <c r="I50" s="15">
        <v>106.8</v>
      </c>
      <c r="J50" s="15">
        <v>35.200000000000003</v>
      </c>
      <c r="K50" s="15">
        <v>20</v>
      </c>
      <c r="M50" s="16">
        <f t="shared" si="6"/>
        <v>106.8</v>
      </c>
      <c r="N50" s="16">
        <f t="shared" si="7"/>
        <v>35.200000000000003</v>
      </c>
      <c r="O50" s="16">
        <f t="shared" si="8"/>
        <v>20</v>
      </c>
      <c r="P50" s="19">
        <v>0.71250899999999995</v>
      </c>
      <c r="T50" s="19"/>
    </row>
    <row r="51" spans="1:20">
      <c r="A51" s="21" t="s">
        <v>148</v>
      </c>
      <c r="B51" s="5"/>
      <c r="F51" s="19"/>
      <c r="M51" s="16"/>
      <c r="N51" s="16"/>
      <c r="O51" s="16"/>
      <c r="P51" s="19"/>
      <c r="T51" s="19"/>
    </row>
    <row r="52" spans="1:20">
      <c r="A52" s="12" t="s">
        <v>58</v>
      </c>
      <c r="B52" s="5" t="s">
        <v>160</v>
      </c>
      <c r="F52" s="19">
        <v>0.70840800000000004</v>
      </c>
      <c r="H52" s="12">
        <v>1</v>
      </c>
      <c r="I52" s="12">
        <v>2460.5263157894738</v>
      </c>
      <c r="J52" s="12">
        <v>0.65789473684210531</v>
      </c>
      <c r="K52" s="12">
        <v>1.3157894736842106</v>
      </c>
      <c r="M52" s="16">
        <f t="shared" si="6"/>
        <v>2460.5263157894738</v>
      </c>
      <c r="N52" s="16">
        <f t="shared" si="7"/>
        <v>0.65789473684210531</v>
      </c>
      <c r="O52" s="16">
        <f t="shared" si="8"/>
        <v>1.3157894736842106</v>
      </c>
      <c r="P52" s="19">
        <v>0.70840800000000004</v>
      </c>
      <c r="T52" s="19"/>
    </row>
    <row r="53" spans="1:20">
      <c r="B53" s="5" t="s">
        <v>161</v>
      </c>
      <c r="F53" s="19">
        <f>((0.75*F52)+(0.25*F56))</f>
        <v>0.70943325000000002</v>
      </c>
      <c r="G53" s="19"/>
      <c r="H53" s="15">
        <f>((0.75*H52)+(0.25*H56))</f>
        <v>1</v>
      </c>
      <c r="I53" s="15">
        <f>((0.75*I52)+(0.25*I56))</f>
        <v>1872.0947368421055</v>
      </c>
      <c r="J53" s="15">
        <f>((0.75*J52)+(0.25*J56))</f>
        <v>9.2934210526315795</v>
      </c>
      <c r="K53" s="15">
        <f>((0.75*K52)+(0.25*K56))</f>
        <v>5.9868421052631575</v>
      </c>
      <c r="M53" s="16">
        <f t="shared" si="6"/>
        <v>1872.0947368421055</v>
      </c>
      <c r="N53" s="16">
        <f t="shared" si="7"/>
        <v>9.2934210526315795</v>
      </c>
      <c r="O53" s="16">
        <f t="shared" si="8"/>
        <v>5.9868421052631575</v>
      </c>
      <c r="P53" s="19">
        <f>((0.75*P52)+(0.25*P56))</f>
        <v>0.70943325000000002</v>
      </c>
      <c r="T53" s="19"/>
    </row>
    <row r="54" spans="1:20">
      <c r="B54" s="5" t="s">
        <v>162</v>
      </c>
      <c r="F54" s="19">
        <f>SUM(F52+F56)/2</f>
        <v>0.71045849999999999</v>
      </c>
      <c r="G54" s="19"/>
      <c r="H54" s="15">
        <f>SUM(H52+H56)/2</f>
        <v>1</v>
      </c>
      <c r="I54" s="15">
        <f>SUM(I52+I56)/2</f>
        <v>1283.663157894737</v>
      </c>
      <c r="J54" s="15">
        <f>SUM(J52+J56)/2</f>
        <v>17.928947368421053</v>
      </c>
      <c r="K54" s="15">
        <f>SUM(K52+K56)/2</f>
        <v>10.657894736842106</v>
      </c>
      <c r="M54" s="16">
        <f t="shared" si="6"/>
        <v>1283.663157894737</v>
      </c>
      <c r="N54" s="16">
        <f t="shared" si="7"/>
        <v>17.928947368421053</v>
      </c>
      <c r="O54" s="16">
        <f t="shared" si="8"/>
        <v>10.657894736842106</v>
      </c>
      <c r="P54" s="19">
        <f>SUM(P52+P56)/2</f>
        <v>0.71045849999999999</v>
      </c>
      <c r="T54" s="19"/>
    </row>
    <row r="55" spans="1:20">
      <c r="B55" s="5" t="s">
        <v>163</v>
      </c>
      <c r="F55" s="19">
        <f>SUM((0.75*F56)+(0.25*F52))</f>
        <v>0.71148374999999997</v>
      </c>
      <c r="G55" s="15"/>
      <c r="H55" s="15">
        <f>SUM((0.75*H56)+(0.25*H52))</f>
        <v>1</v>
      </c>
      <c r="I55" s="15">
        <f>SUM((0.75*I56)+(0.25*I52))</f>
        <v>695.23157894736846</v>
      </c>
      <c r="J55" s="15">
        <f>SUM((0.75*J56)+(0.25*J52))</f>
        <v>26.56447368421053</v>
      </c>
      <c r="K55" s="15">
        <f>SUM((0.75*K56)+(0.25*K52))</f>
        <v>15.328947368421053</v>
      </c>
      <c r="M55" s="16">
        <f t="shared" si="6"/>
        <v>695.23157894736846</v>
      </c>
      <c r="N55" s="16">
        <f t="shared" si="7"/>
        <v>26.56447368421053</v>
      </c>
      <c r="O55" s="16">
        <f t="shared" si="8"/>
        <v>15.328947368421053</v>
      </c>
      <c r="P55" s="19">
        <f>SUM((0.75*P56)+(0.25*P52))</f>
        <v>0.71148374999999997</v>
      </c>
      <c r="T55" s="19"/>
    </row>
    <row r="56" spans="1:20">
      <c r="A56" s="12" t="s">
        <v>151</v>
      </c>
      <c r="B56" s="5" t="s">
        <v>159</v>
      </c>
      <c r="F56" s="19">
        <v>0.71250899999999995</v>
      </c>
      <c r="G56" s="13"/>
      <c r="H56" s="15">
        <v>1</v>
      </c>
      <c r="I56" s="15">
        <v>106.8</v>
      </c>
      <c r="J56" s="15">
        <v>35.200000000000003</v>
      </c>
      <c r="K56" s="15">
        <v>20</v>
      </c>
      <c r="M56" s="16">
        <f t="shared" si="6"/>
        <v>106.8</v>
      </c>
      <c r="N56" s="16">
        <f t="shared" si="7"/>
        <v>35.200000000000003</v>
      </c>
      <c r="O56" s="16">
        <f t="shared" si="8"/>
        <v>20</v>
      </c>
      <c r="P56" s="19">
        <v>0.71250899999999995</v>
      </c>
      <c r="T56" s="19"/>
    </row>
    <row r="57" spans="1:20">
      <c r="B57" s="5"/>
      <c r="F57" s="19"/>
      <c r="M57" s="16"/>
      <c r="N57" s="16"/>
      <c r="O57" s="16"/>
      <c r="P57" s="19"/>
      <c r="T57" s="19"/>
    </row>
    <row r="58" spans="1:20">
      <c r="A58" s="11" t="s">
        <v>164</v>
      </c>
      <c r="B58" s="5"/>
      <c r="F58" s="19"/>
      <c r="M58" s="16"/>
      <c r="N58" s="16"/>
      <c r="O58" s="16"/>
      <c r="P58" s="19"/>
      <c r="T58" s="19"/>
    </row>
    <row r="59" spans="1:20">
      <c r="A59" s="21" t="s">
        <v>146</v>
      </c>
      <c r="B59" s="5"/>
      <c r="F59" s="19"/>
      <c r="M59" s="16"/>
      <c r="N59" s="16"/>
      <c r="O59" s="16"/>
      <c r="P59" s="19"/>
      <c r="T59" s="19"/>
    </row>
    <row r="60" spans="1:20">
      <c r="A60" s="12" t="s">
        <v>56</v>
      </c>
      <c r="B60" s="5" t="s">
        <v>165</v>
      </c>
      <c r="F60" s="19">
        <v>0.70797500000000002</v>
      </c>
      <c r="H60" s="12">
        <v>1</v>
      </c>
      <c r="I60" s="12">
        <v>1029.5857988165681</v>
      </c>
      <c r="J60" s="12">
        <v>0.29585798816568049</v>
      </c>
      <c r="K60" s="12">
        <v>0.59171597633136097</v>
      </c>
      <c r="M60" s="16">
        <f t="shared" ref="M60:M74" si="15">I60/H60</f>
        <v>1029.5857988165681</v>
      </c>
      <c r="N60" s="16">
        <f t="shared" ref="N60:N74" si="16">J60/H60</f>
        <v>0.29585798816568049</v>
      </c>
      <c r="O60" s="16">
        <f t="shared" ref="O60:O74" si="17">K60/H60</f>
        <v>0.59171597633136097</v>
      </c>
      <c r="P60" s="19">
        <v>0.70791000000000004</v>
      </c>
      <c r="T60" s="19"/>
    </row>
    <row r="61" spans="1:20">
      <c r="B61" s="5"/>
      <c r="D61" s="12">
        <v>0.9</v>
      </c>
      <c r="E61" s="12">
        <f>1-D61</f>
        <v>9.9999999999999978E-2</v>
      </c>
      <c r="F61" s="19">
        <f>((D61*F$60)+(E61*F$68))</f>
        <v>0.70811860000000004</v>
      </c>
      <c r="G61" s="13"/>
      <c r="H61" s="15"/>
      <c r="I61" s="15"/>
      <c r="J61" s="15"/>
      <c r="K61" s="15">
        <f>((D61*K$60)+(E61*K$68))</f>
        <v>110.53254437869819</v>
      </c>
      <c r="L61" s="16"/>
      <c r="M61" s="16"/>
      <c r="N61" s="16"/>
      <c r="O61" s="16">
        <f>K61</f>
        <v>110.53254437869819</v>
      </c>
      <c r="P61" s="19">
        <f t="shared" ref="P61" si="18">F61</f>
        <v>0.70811860000000004</v>
      </c>
      <c r="T61" s="19"/>
    </row>
    <row r="62" spans="1:20">
      <c r="B62" s="5"/>
      <c r="D62" s="12">
        <v>0.65</v>
      </c>
      <c r="E62" s="12">
        <f>1-D62</f>
        <v>0.35</v>
      </c>
      <c r="F62" s="19">
        <f t="shared" ref="F62:F67" si="19">((D62*F$60)+(E62*F$68))</f>
        <v>0.70847759999999993</v>
      </c>
      <c r="G62" s="19"/>
      <c r="H62" s="15">
        <f>((0.75*H60)+(0.25*H68))</f>
        <v>1</v>
      </c>
      <c r="I62" s="15">
        <f>((0.75*I60)+(0.25*I68))</f>
        <v>878.43934911242604</v>
      </c>
      <c r="J62" s="15">
        <f>((0.75*J60)+(0.25*J68))</f>
        <v>142.40939349112426</v>
      </c>
      <c r="K62" s="15">
        <f t="shared" ref="K62:K67" si="20">((D62*K$60)+(E62*K$68))</f>
        <v>385.38461538461536</v>
      </c>
      <c r="L62" s="16"/>
      <c r="M62" s="16">
        <f>I62/H62</f>
        <v>878.43934911242604</v>
      </c>
      <c r="N62" s="16">
        <f>J62/H62</f>
        <v>142.40939349112426</v>
      </c>
      <c r="O62" s="16">
        <f t="shared" ref="O62:O67" si="21">K62</f>
        <v>385.38461538461536</v>
      </c>
      <c r="P62" s="19">
        <f>F62</f>
        <v>0.70847759999999993</v>
      </c>
      <c r="T62" s="19"/>
    </row>
    <row r="63" spans="1:20">
      <c r="B63" s="5"/>
      <c r="D63" s="12">
        <v>0.5</v>
      </c>
      <c r="E63" s="12">
        <f t="shared" ref="E63:E67" si="22">1-D63</f>
        <v>0.5</v>
      </c>
      <c r="F63" s="19">
        <f t="shared" si="19"/>
        <v>0.70869300000000002</v>
      </c>
      <c r="G63" s="19"/>
      <c r="H63" s="15"/>
      <c r="I63" s="15"/>
      <c r="J63" s="15"/>
      <c r="K63" s="15">
        <f t="shared" si="20"/>
        <v>550.29585798816572</v>
      </c>
      <c r="L63" s="16"/>
      <c r="M63" s="16"/>
      <c r="N63" s="16"/>
      <c r="O63" s="16">
        <f t="shared" si="21"/>
        <v>550.29585798816572</v>
      </c>
      <c r="P63" s="19">
        <f t="shared" ref="P63:P67" si="23">F63</f>
        <v>0.70869300000000002</v>
      </c>
      <c r="T63" s="19"/>
    </row>
    <row r="64" spans="1:20">
      <c r="B64" s="5"/>
      <c r="D64" s="12">
        <v>0.35</v>
      </c>
      <c r="E64" s="12">
        <f t="shared" si="22"/>
        <v>0.65</v>
      </c>
      <c r="F64" s="19">
        <f t="shared" si="19"/>
        <v>0.70890839999999999</v>
      </c>
      <c r="G64" s="19"/>
      <c r="H64" s="15">
        <f>SUM(H60+H68)/2</f>
        <v>1</v>
      </c>
      <c r="I64" s="15">
        <f>SUM(I60+I68)/2</f>
        <v>727.29289940828403</v>
      </c>
      <c r="J64" s="15">
        <f>SUM(J60+J68)/2</f>
        <v>284.52292899408286</v>
      </c>
      <c r="K64" s="15">
        <f t="shared" si="20"/>
        <v>715.20710059171597</v>
      </c>
      <c r="L64" s="16"/>
      <c r="M64" s="16">
        <f>I64/H64</f>
        <v>727.29289940828403</v>
      </c>
      <c r="N64" s="16">
        <f>J64/H64</f>
        <v>284.52292899408286</v>
      </c>
      <c r="O64" s="16">
        <f t="shared" si="21"/>
        <v>715.20710059171597</v>
      </c>
      <c r="P64" s="19">
        <f t="shared" si="23"/>
        <v>0.70890839999999999</v>
      </c>
    </row>
    <row r="65" spans="1:16">
      <c r="B65" s="5" t="s">
        <v>166</v>
      </c>
      <c r="D65" s="12">
        <v>0.2</v>
      </c>
      <c r="E65" s="12">
        <f t="shared" si="22"/>
        <v>0.8</v>
      </c>
      <c r="F65" s="19">
        <f t="shared" si="19"/>
        <v>0.70912380000000008</v>
      </c>
      <c r="G65" s="19"/>
      <c r="H65" s="15"/>
      <c r="I65" s="15"/>
      <c r="J65" s="15"/>
      <c r="K65" s="15">
        <f t="shared" si="20"/>
        <v>880.11834319526622</v>
      </c>
      <c r="L65" s="16"/>
      <c r="M65" s="16"/>
      <c r="N65" s="16"/>
      <c r="O65" s="16">
        <f t="shared" si="21"/>
        <v>880.11834319526622</v>
      </c>
      <c r="P65" s="19">
        <f t="shared" si="23"/>
        <v>0.70912380000000008</v>
      </c>
    </row>
    <row r="66" spans="1:16">
      <c r="B66" s="5" t="s">
        <v>167</v>
      </c>
      <c r="D66" s="12">
        <v>0.1</v>
      </c>
      <c r="E66" s="12">
        <f t="shared" si="22"/>
        <v>0.9</v>
      </c>
      <c r="F66" s="19">
        <f t="shared" si="19"/>
        <v>0.70926739999999999</v>
      </c>
      <c r="G66" s="15"/>
      <c r="H66" s="15">
        <f>SUM((0.75*H68)+(0.25*H60))</f>
        <v>1</v>
      </c>
      <c r="I66" s="15">
        <f>SUM((0.75*I68)+(0.25*I60))</f>
        <v>576.14644970414201</v>
      </c>
      <c r="J66" s="15">
        <f>SUM((0.75*J68)+(0.25*J60))</f>
        <v>426.6364644970414</v>
      </c>
      <c r="K66" s="15">
        <f t="shared" si="20"/>
        <v>990.05917159763317</v>
      </c>
      <c r="L66" s="16"/>
      <c r="M66" s="16">
        <f>I66/H66</f>
        <v>576.14644970414201</v>
      </c>
      <c r="N66" s="16">
        <f>J66/H66</f>
        <v>426.6364644970414</v>
      </c>
      <c r="O66" s="16">
        <f t="shared" si="21"/>
        <v>990.05917159763317</v>
      </c>
      <c r="P66" s="19">
        <f t="shared" si="23"/>
        <v>0.70926739999999999</v>
      </c>
    </row>
    <row r="67" spans="1:16">
      <c r="B67" s="5" t="s">
        <v>168</v>
      </c>
      <c r="D67" s="12">
        <v>0.05</v>
      </c>
      <c r="E67" s="12">
        <f t="shared" si="22"/>
        <v>0.95</v>
      </c>
      <c r="F67" s="19">
        <f t="shared" si="19"/>
        <v>0.70933920000000006</v>
      </c>
      <c r="G67" s="15"/>
      <c r="H67" s="15"/>
      <c r="I67" s="15"/>
      <c r="J67" s="15"/>
      <c r="K67" s="15">
        <f t="shared" si="20"/>
        <v>1045.0295857988165</v>
      </c>
      <c r="L67" s="16"/>
      <c r="M67" s="16"/>
      <c r="N67" s="16"/>
      <c r="O67" s="16">
        <f t="shared" si="21"/>
        <v>1045.0295857988165</v>
      </c>
      <c r="P67" s="19">
        <f t="shared" si="23"/>
        <v>0.70933920000000006</v>
      </c>
    </row>
    <row r="68" spans="1:16">
      <c r="A68" s="12" t="s">
        <v>145</v>
      </c>
      <c r="B68" s="5" t="s">
        <v>152</v>
      </c>
      <c r="F68" s="42">
        <v>0.70941100000000001</v>
      </c>
      <c r="G68" s="13"/>
      <c r="H68" s="15">
        <v>1</v>
      </c>
      <c r="I68" s="15">
        <v>425</v>
      </c>
      <c r="J68" s="15">
        <v>568.75</v>
      </c>
      <c r="K68" s="15">
        <v>1100</v>
      </c>
      <c r="M68" s="16">
        <f t="shared" si="15"/>
        <v>425</v>
      </c>
      <c r="N68" s="16">
        <f t="shared" si="16"/>
        <v>568.75</v>
      </c>
      <c r="O68" s="16">
        <f t="shared" si="17"/>
        <v>1100</v>
      </c>
      <c r="P68" s="42">
        <v>0.70941100000000001</v>
      </c>
    </row>
    <row r="69" spans="1:16">
      <c r="A69" s="21" t="s">
        <v>147</v>
      </c>
      <c r="B69" s="5"/>
      <c r="F69" s="19"/>
      <c r="M69" s="16"/>
      <c r="N69" s="16"/>
      <c r="O69" s="16"/>
      <c r="P69" s="19"/>
    </row>
    <row r="70" spans="1:16">
      <c r="A70" s="12" t="s">
        <v>57</v>
      </c>
      <c r="B70" s="5" t="s">
        <v>165</v>
      </c>
      <c r="F70" s="19">
        <v>0.70800399999999997</v>
      </c>
      <c r="H70" s="12">
        <v>1</v>
      </c>
      <c r="I70" s="12">
        <v>1194.8051948051948</v>
      </c>
      <c r="J70" s="12">
        <v>0.32467532467532467</v>
      </c>
      <c r="K70" s="12">
        <v>0.64935064935064934</v>
      </c>
      <c r="M70" s="16">
        <f t="shared" si="15"/>
        <v>1194.8051948051948</v>
      </c>
      <c r="N70" s="16">
        <f t="shared" si="16"/>
        <v>0.32467532467532467</v>
      </c>
      <c r="O70" s="16">
        <f t="shared" si="17"/>
        <v>0.64935064935064934</v>
      </c>
      <c r="P70" s="19">
        <v>0.70800399999999997</v>
      </c>
    </row>
    <row r="71" spans="1:16">
      <c r="B71" s="5" t="s">
        <v>166</v>
      </c>
      <c r="F71" s="19">
        <f>((0.75*F70)+(0.25*F74))</f>
        <v>0.70835574999999995</v>
      </c>
      <c r="G71" s="19"/>
      <c r="H71" s="15">
        <f>((0.75*H70)+(0.25*H74))</f>
        <v>1</v>
      </c>
      <c r="I71" s="15">
        <f>((0.75*I70)+(0.25*I74))</f>
        <v>1002.3538961038961</v>
      </c>
      <c r="J71" s="15">
        <f>((0.75*J70)+(0.25*J74))</f>
        <v>142.43100649350649</v>
      </c>
      <c r="K71" s="15">
        <f>((0.75*K70)+(0.25*K74))</f>
        <v>275.48701298701297</v>
      </c>
      <c r="M71" s="16">
        <f t="shared" si="15"/>
        <v>1002.3538961038961</v>
      </c>
      <c r="N71" s="16">
        <f t="shared" si="16"/>
        <v>142.43100649350649</v>
      </c>
      <c r="O71" s="16">
        <f t="shared" si="17"/>
        <v>275.48701298701297</v>
      </c>
      <c r="P71" s="19">
        <f>((0.75*P70)+(0.25*P74))</f>
        <v>0.70835574999999995</v>
      </c>
    </row>
    <row r="72" spans="1:16">
      <c r="B72" s="5" t="s">
        <v>167</v>
      </c>
      <c r="F72" s="19">
        <f>SUM(F70+F74)/2</f>
        <v>0.70870750000000005</v>
      </c>
      <c r="G72" s="19"/>
      <c r="H72" s="15">
        <f>SUM(H70+H74)/2</f>
        <v>1</v>
      </c>
      <c r="I72" s="15">
        <f>SUM(I70+I74)/2</f>
        <v>809.90259740259739</v>
      </c>
      <c r="J72" s="15">
        <f>SUM(J70+J74)/2</f>
        <v>284.53733766233768</v>
      </c>
      <c r="K72" s="15">
        <f>SUM(K70+K74)/2</f>
        <v>550.32467532467535</v>
      </c>
      <c r="M72" s="16">
        <f t="shared" si="15"/>
        <v>809.90259740259739</v>
      </c>
      <c r="N72" s="16">
        <f t="shared" si="16"/>
        <v>284.53733766233768</v>
      </c>
      <c r="O72" s="16">
        <f t="shared" si="17"/>
        <v>550.32467532467535</v>
      </c>
      <c r="P72" s="19">
        <f>SUM(P70+P74)/2</f>
        <v>0.70870750000000005</v>
      </c>
    </row>
    <row r="73" spans="1:16">
      <c r="B73" s="5" t="s">
        <v>168</v>
      </c>
      <c r="F73" s="19">
        <f>SUM((0.75*F74)+(0.25*F70))</f>
        <v>0.70905924999999992</v>
      </c>
      <c r="G73" s="15"/>
      <c r="H73" s="15">
        <f>SUM((0.75*H74)+(0.25*H70))</f>
        <v>1</v>
      </c>
      <c r="I73" s="15">
        <f>SUM((0.75*I74)+(0.25*I70))</f>
        <v>617.4512987012987</v>
      </c>
      <c r="J73" s="15">
        <f>SUM((0.75*J74)+(0.25*J70))</f>
        <v>426.64366883116884</v>
      </c>
      <c r="K73" s="15">
        <f>SUM((0.75*K74)+(0.25*K70))</f>
        <v>825.16233766233768</v>
      </c>
      <c r="M73" s="16">
        <f t="shared" si="15"/>
        <v>617.4512987012987</v>
      </c>
      <c r="N73" s="16">
        <f t="shared" si="16"/>
        <v>426.64366883116884</v>
      </c>
      <c r="O73" s="16">
        <f t="shared" si="17"/>
        <v>825.16233766233768</v>
      </c>
      <c r="P73" s="19">
        <f>SUM((0.75*P74)+(0.25*P70))</f>
        <v>0.70905924999999992</v>
      </c>
    </row>
    <row r="74" spans="1:16">
      <c r="A74" s="12" t="s">
        <v>145</v>
      </c>
      <c r="B74" s="5" t="s">
        <v>152</v>
      </c>
      <c r="F74" s="42">
        <v>0.70941100000000001</v>
      </c>
      <c r="G74" s="13"/>
      <c r="H74" s="15">
        <v>1</v>
      </c>
      <c r="I74" s="15">
        <v>425</v>
      </c>
      <c r="J74" s="15">
        <v>568.75</v>
      </c>
      <c r="K74" s="15">
        <v>1100</v>
      </c>
      <c r="M74" s="16">
        <f t="shared" si="15"/>
        <v>425</v>
      </c>
      <c r="N74" s="16">
        <f t="shared" si="16"/>
        <v>568.75</v>
      </c>
      <c r="O74" s="16">
        <f t="shared" si="17"/>
        <v>1100</v>
      </c>
      <c r="P74" s="42">
        <v>0.70941100000000001</v>
      </c>
    </row>
  </sheetData>
  <pageMargins left="0.11811023622047245" right="0.11811023622047245" top="0" bottom="0.36" header="0.19685039370078741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122"/>
  <sheetViews>
    <sheetView topLeftCell="A3" workbookViewId="0">
      <pane xSplit="4905" ySplit="765" topLeftCell="B61" activePane="bottomRight"/>
      <selection activeCell="A3" sqref="A3:IV3"/>
      <selection pane="topRight" activeCell="L3" sqref="L3:O3"/>
      <selection pane="bottomLeft" activeCell="B80" sqref="B80"/>
      <selection pane="bottomRight" activeCell="C97" sqref="C97"/>
    </sheetView>
  </sheetViews>
  <sheetFormatPr defaultRowHeight="12.75"/>
  <cols>
    <col min="1" max="1" width="11.42578125" style="12" bestFit="1" customWidth="1"/>
    <col min="2" max="2" width="9.7109375" style="12" customWidth="1"/>
    <col min="3" max="3" width="45.7109375" style="12" customWidth="1"/>
    <col min="4" max="4" width="1.85546875" style="12" customWidth="1"/>
    <col min="5" max="5" width="9.140625" style="12"/>
    <col min="6" max="6" width="8.85546875" style="12" customWidth="1"/>
    <col min="7" max="7" width="6.28515625" style="12" customWidth="1"/>
    <col min="8" max="8" width="9.7109375" style="12" customWidth="1"/>
    <col min="9" max="9" width="7" style="12" customWidth="1"/>
    <col min="10" max="10" width="6.42578125" style="12" customWidth="1"/>
    <col min="11" max="11" width="6.28515625" style="12" customWidth="1"/>
    <col min="12" max="12" width="8.7109375" style="12" customWidth="1"/>
    <col min="13" max="13" width="9.85546875" style="12" customWidth="1"/>
    <col min="14" max="14" width="6.7109375" style="12" customWidth="1"/>
    <col min="15" max="16" width="8.85546875" style="12" customWidth="1"/>
    <col min="17" max="18" width="8.5703125" style="12" customWidth="1"/>
    <col min="19" max="19" width="2.140625" style="12" customWidth="1"/>
    <col min="20" max="20" width="9.140625" style="12"/>
    <col min="21" max="21" width="1.7109375" style="12" customWidth="1"/>
    <col min="22" max="22" width="5.5703125" style="12" customWidth="1"/>
    <col min="23" max="23" width="7.140625" style="12" customWidth="1"/>
    <col min="24" max="24" width="7" style="12" customWidth="1"/>
    <col min="25" max="25" width="6.85546875" style="12" customWidth="1"/>
    <col min="26" max="26" width="11.85546875" style="12" customWidth="1"/>
    <col min="27" max="16384" width="9.140625" style="12"/>
  </cols>
  <sheetData>
    <row r="1" spans="1:38" ht="18">
      <c r="A1" s="34" t="s">
        <v>129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3" spans="1:38" ht="27">
      <c r="A3" s="1" t="s">
        <v>10</v>
      </c>
      <c r="B3" s="35" t="s">
        <v>48</v>
      </c>
      <c r="C3" s="35" t="s">
        <v>42</v>
      </c>
      <c r="D3" s="35"/>
      <c r="E3" s="36" t="s">
        <v>130</v>
      </c>
      <c r="F3" s="37" t="s">
        <v>128</v>
      </c>
      <c r="G3" s="35" t="s">
        <v>80</v>
      </c>
      <c r="H3" s="35" t="s">
        <v>81</v>
      </c>
      <c r="I3" s="35" t="s">
        <v>82</v>
      </c>
      <c r="J3" s="35" t="s">
        <v>83</v>
      </c>
      <c r="K3" s="35" t="s">
        <v>84</v>
      </c>
      <c r="L3" s="35" t="s">
        <v>85</v>
      </c>
      <c r="M3" s="35" t="s">
        <v>86</v>
      </c>
      <c r="N3" s="35" t="s">
        <v>11</v>
      </c>
      <c r="O3" s="35" t="s">
        <v>61</v>
      </c>
      <c r="P3" s="35"/>
      <c r="Q3" s="35" t="s">
        <v>12</v>
      </c>
      <c r="R3" s="35" t="s">
        <v>142</v>
      </c>
      <c r="S3" s="35"/>
      <c r="T3" s="36" t="s">
        <v>130</v>
      </c>
      <c r="U3" s="35"/>
      <c r="V3" s="35" t="s">
        <v>90</v>
      </c>
      <c r="W3" s="35" t="s">
        <v>131</v>
      </c>
      <c r="X3" s="35" t="s">
        <v>132</v>
      </c>
      <c r="Y3" s="35" t="s">
        <v>133</v>
      </c>
      <c r="Z3" s="35" t="s">
        <v>88</v>
      </c>
      <c r="AA3" s="13"/>
      <c r="AB3" s="14"/>
      <c r="AC3" s="14"/>
      <c r="AI3" s="13"/>
      <c r="AK3" s="13"/>
    </row>
    <row r="4" spans="1:38" ht="14.25">
      <c r="A4" s="11"/>
      <c r="B4" s="13"/>
      <c r="C4" s="13"/>
      <c r="D4" s="13"/>
      <c r="E4" s="10"/>
      <c r="F4" s="13"/>
      <c r="G4" s="13"/>
      <c r="H4" s="14"/>
      <c r="I4" s="13"/>
      <c r="J4" s="13"/>
      <c r="K4" s="13"/>
      <c r="L4" s="28"/>
      <c r="M4" s="13"/>
      <c r="N4" s="13"/>
      <c r="O4" s="13"/>
      <c r="P4" s="13"/>
      <c r="Q4" s="13"/>
      <c r="R4" s="13"/>
      <c r="S4" s="13"/>
      <c r="T4" s="10"/>
      <c r="U4" s="13"/>
      <c r="V4" s="13"/>
      <c r="W4" s="13"/>
      <c r="X4" s="13"/>
      <c r="Y4" s="13"/>
      <c r="Z4" s="13"/>
      <c r="AA4" s="13"/>
      <c r="AB4" s="14"/>
      <c r="AC4" s="14"/>
      <c r="AF4" s="31"/>
      <c r="AH4" s="13"/>
      <c r="AI4" s="13"/>
      <c r="AK4" s="13"/>
    </row>
    <row r="5" spans="1:38" ht="14.25">
      <c r="A5" s="11" t="s">
        <v>122</v>
      </c>
      <c r="B5" s="13"/>
      <c r="C5" s="13"/>
      <c r="D5" s="13"/>
      <c r="E5" s="10"/>
      <c r="F5" s="13"/>
      <c r="G5"/>
      <c r="H5"/>
      <c r="I5"/>
      <c r="J5"/>
      <c r="K5"/>
      <c r="L5"/>
      <c r="M5"/>
      <c r="T5" s="10"/>
      <c r="V5"/>
      <c r="W5"/>
      <c r="X5"/>
      <c r="Y5"/>
      <c r="AA5" s="13"/>
      <c r="AB5" s="14"/>
      <c r="AC5" s="14"/>
      <c r="AF5" s="31"/>
      <c r="AH5" s="13"/>
      <c r="AI5" s="13"/>
      <c r="AK5" s="13"/>
    </row>
    <row r="6" spans="1:38">
      <c r="A6" s="12" t="s">
        <v>123</v>
      </c>
      <c r="B6" s="29" t="s">
        <v>125</v>
      </c>
      <c r="C6" s="30" t="s">
        <v>126</v>
      </c>
      <c r="D6" s="13"/>
      <c r="E6" s="42">
        <v>0.70917399999999997</v>
      </c>
      <c r="F6" s="13">
        <v>4</v>
      </c>
      <c r="G6" s="46">
        <v>4.0000000000000001E-3</v>
      </c>
      <c r="H6" s="4">
        <v>2.2000000000000002</v>
      </c>
      <c r="I6" s="4">
        <v>0.2</v>
      </c>
      <c r="J6" s="4">
        <v>1.2</v>
      </c>
      <c r="K6" s="4">
        <v>0.7</v>
      </c>
      <c r="L6" s="3">
        <v>164.6</v>
      </c>
      <c r="M6" s="3">
        <v>1.6</v>
      </c>
      <c r="N6" s="16">
        <f>SUM(1/G6)</f>
        <v>250</v>
      </c>
      <c r="O6" s="16">
        <f>SUM(H6/G6)</f>
        <v>550</v>
      </c>
      <c r="P6" s="16"/>
      <c r="Q6" s="16">
        <f>SUM(K6/G6)</f>
        <v>174.99999999999997</v>
      </c>
      <c r="R6" s="16">
        <f>(J6/G6)</f>
        <v>300</v>
      </c>
      <c r="S6" s="15"/>
      <c r="T6" s="42">
        <v>0.70917399999999997</v>
      </c>
      <c r="U6" s="15"/>
      <c r="V6" s="4">
        <v>1.9</v>
      </c>
      <c r="W6" s="4">
        <v>2.2000000000000002</v>
      </c>
      <c r="X6" s="4">
        <v>0.2</v>
      </c>
      <c r="Y6" s="4">
        <v>2</v>
      </c>
      <c r="Z6" s="32" t="s">
        <v>135</v>
      </c>
      <c r="AA6" s="13"/>
      <c r="AB6" s="14"/>
      <c r="AC6" s="14"/>
      <c r="AF6" s="31"/>
      <c r="AH6" s="13"/>
      <c r="AI6" s="13"/>
      <c r="AK6" s="13"/>
    </row>
    <row r="7" spans="1:38">
      <c r="A7" s="12" t="s">
        <v>124</v>
      </c>
      <c r="B7" s="29" t="s">
        <v>125</v>
      </c>
      <c r="C7" s="30" t="s">
        <v>127</v>
      </c>
      <c r="D7" s="13"/>
      <c r="E7" s="42">
        <v>0.70941100000000001</v>
      </c>
      <c r="F7" s="13">
        <v>4</v>
      </c>
      <c r="G7" s="46">
        <v>1.6E-2</v>
      </c>
      <c r="H7" s="4">
        <v>6.8</v>
      </c>
      <c r="I7" s="4">
        <v>2.4</v>
      </c>
      <c r="J7" s="4">
        <v>9.1</v>
      </c>
      <c r="K7" s="4">
        <v>17.600000000000001</v>
      </c>
      <c r="L7" s="3">
        <v>372.9</v>
      </c>
      <c r="M7" s="3">
        <v>2.9</v>
      </c>
      <c r="N7" s="16">
        <f>SUM(1/G7)</f>
        <v>62.5</v>
      </c>
      <c r="O7" s="16">
        <f>SUM(H7/G7)</f>
        <v>425</v>
      </c>
      <c r="P7" s="16"/>
      <c r="Q7" s="16">
        <f>SUM(K7/G7)</f>
        <v>1100</v>
      </c>
      <c r="R7" s="16">
        <f t="shared" ref="R7:R56" si="0">(J7/G7)</f>
        <v>568.75</v>
      </c>
      <c r="S7" s="15"/>
      <c r="T7" s="42">
        <v>0.70941100000000001</v>
      </c>
      <c r="U7" s="15"/>
      <c r="V7" s="4">
        <v>16</v>
      </c>
      <c r="W7" s="4">
        <v>2.8</v>
      </c>
      <c r="X7" s="4">
        <v>5.9</v>
      </c>
      <c r="Y7" s="4">
        <v>10.7</v>
      </c>
      <c r="Z7" s="32" t="s">
        <v>134</v>
      </c>
      <c r="AA7" s="13"/>
      <c r="AB7" s="14"/>
      <c r="AC7" s="14"/>
      <c r="AF7" s="31"/>
      <c r="AH7" s="13"/>
      <c r="AI7" s="13"/>
      <c r="AK7" s="13"/>
    </row>
    <row r="8" spans="1:38">
      <c r="B8" s="29"/>
      <c r="C8" s="30"/>
      <c r="D8" s="13"/>
      <c r="E8" s="42"/>
      <c r="F8" s="13"/>
      <c r="G8" s="46"/>
      <c r="H8" s="4"/>
      <c r="I8" s="4"/>
      <c r="J8" s="4"/>
      <c r="K8" s="4"/>
      <c r="L8" s="3"/>
      <c r="M8" s="3"/>
      <c r="N8" s="16"/>
      <c r="O8" s="16"/>
      <c r="P8" s="16"/>
      <c r="Q8" s="15"/>
      <c r="R8" s="15"/>
      <c r="S8" s="15"/>
      <c r="T8" s="42"/>
      <c r="U8" s="15"/>
      <c r="V8" s="4"/>
      <c r="W8" s="4"/>
      <c r="X8" s="4"/>
      <c r="Y8" s="4"/>
      <c r="Z8" s="32"/>
      <c r="AA8" s="13"/>
      <c r="AB8" s="14"/>
      <c r="AC8" s="14"/>
      <c r="AF8" s="31"/>
      <c r="AH8" s="13"/>
      <c r="AI8" s="13"/>
      <c r="AK8" s="13"/>
    </row>
    <row r="9" spans="1:38">
      <c r="A9" s="12" t="s">
        <v>9</v>
      </c>
      <c r="B9" s="23"/>
      <c r="C9" s="12" t="s">
        <v>94</v>
      </c>
      <c r="D9" s="13"/>
      <c r="E9" s="42">
        <v>0.71025000000000005</v>
      </c>
      <c r="F9" s="13"/>
      <c r="G9" s="46"/>
      <c r="H9" s="4"/>
      <c r="I9" s="4"/>
      <c r="J9" s="4"/>
      <c r="K9" s="4"/>
      <c r="L9" s="3"/>
      <c r="M9" s="3"/>
      <c r="N9" s="16"/>
      <c r="O9" s="16"/>
      <c r="P9" s="16"/>
      <c r="Q9" s="15"/>
      <c r="R9" s="15"/>
      <c r="S9" s="15"/>
      <c r="T9" s="42">
        <v>0.71025000000000005</v>
      </c>
      <c r="U9" s="15"/>
      <c r="V9" s="4"/>
      <c r="W9" s="4"/>
      <c r="X9" s="4"/>
      <c r="Y9" s="4"/>
      <c r="Z9" s="32"/>
      <c r="AA9" s="13"/>
      <c r="AB9" s="14"/>
      <c r="AC9" s="14"/>
      <c r="AF9" s="31"/>
      <c r="AH9" s="13"/>
      <c r="AI9" s="13"/>
      <c r="AK9" s="13"/>
    </row>
    <row r="10" spans="1:38">
      <c r="A10" s="12" t="s">
        <v>9</v>
      </c>
      <c r="B10" s="23"/>
      <c r="C10" s="12" t="s">
        <v>94</v>
      </c>
      <c r="D10" s="13"/>
      <c r="E10" s="42">
        <v>0.710256</v>
      </c>
      <c r="F10" s="13"/>
      <c r="G10" s="46"/>
      <c r="H10" s="4"/>
      <c r="I10" s="4"/>
      <c r="J10" s="4"/>
      <c r="K10" s="4"/>
      <c r="L10" s="3"/>
      <c r="M10" s="3"/>
      <c r="N10" s="16"/>
      <c r="O10" s="16"/>
      <c r="P10" s="16"/>
      <c r="Q10" s="15"/>
      <c r="R10" s="15"/>
      <c r="S10" s="15"/>
      <c r="T10" s="42">
        <v>0.710256</v>
      </c>
      <c r="U10" s="15"/>
      <c r="V10" s="4"/>
      <c r="W10" s="4"/>
      <c r="X10" s="4"/>
      <c r="Y10" s="4"/>
      <c r="Z10" s="32"/>
      <c r="AA10" s="13"/>
      <c r="AB10" s="14"/>
      <c r="AC10" s="14"/>
      <c r="AF10" s="31"/>
      <c r="AH10" s="13"/>
      <c r="AI10" s="13"/>
      <c r="AK10" s="13"/>
    </row>
    <row r="11" spans="1:38" ht="14.25">
      <c r="B11" s="13"/>
      <c r="C11" s="13"/>
      <c r="D11" s="13"/>
      <c r="E11" s="43"/>
      <c r="F11" s="13"/>
      <c r="G11" s="47"/>
      <c r="H11" s="15"/>
      <c r="I11" s="15"/>
      <c r="J11" s="15"/>
      <c r="K11" s="15"/>
      <c r="L11" s="16"/>
      <c r="M11" s="3"/>
      <c r="N11" s="16"/>
      <c r="O11" s="16"/>
      <c r="P11" s="16"/>
      <c r="Q11" s="15"/>
      <c r="R11" s="15"/>
      <c r="S11" s="15"/>
      <c r="T11" s="43"/>
      <c r="U11" s="15"/>
      <c r="V11" s="15"/>
      <c r="W11" s="15"/>
      <c r="X11" s="15"/>
      <c r="Y11" s="15"/>
      <c r="Z11" s="13"/>
      <c r="AA11" s="13"/>
      <c r="AB11" s="14"/>
      <c r="AC11" s="14"/>
      <c r="AK11" s="13"/>
    </row>
    <row r="12" spans="1:38" ht="14.25">
      <c r="A12" s="11" t="s">
        <v>87</v>
      </c>
      <c r="B12" s="13"/>
      <c r="C12" s="13"/>
      <c r="D12" s="13"/>
      <c r="E12" s="43"/>
      <c r="F12" s="13"/>
      <c r="G12" s="48"/>
      <c r="H12" s="53"/>
      <c r="I12" s="54"/>
      <c r="J12" s="54"/>
      <c r="K12" s="54"/>
      <c r="L12" s="16"/>
      <c r="M12" s="57"/>
      <c r="N12" s="16"/>
      <c r="O12" s="16"/>
      <c r="P12" s="16"/>
      <c r="Q12" s="15"/>
      <c r="R12" s="15"/>
      <c r="S12" s="15"/>
      <c r="T12" s="43"/>
      <c r="U12" s="15"/>
      <c r="V12" s="54"/>
      <c r="W12" s="54"/>
      <c r="X12" s="54"/>
      <c r="Y12" s="54"/>
      <c r="Z12" s="13"/>
      <c r="AA12" s="13"/>
      <c r="AB12" s="14"/>
      <c r="AC12" s="14"/>
      <c r="AK12" s="13"/>
    </row>
    <row r="13" spans="1:38">
      <c r="A13" s="12" t="s">
        <v>38</v>
      </c>
      <c r="B13" s="5" t="s">
        <v>115</v>
      </c>
      <c r="C13" s="12" t="s">
        <v>103</v>
      </c>
      <c r="E13" s="19">
        <v>0.71054399999999995</v>
      </c>
      <c r="G13" s="47">
        <v>0.1</v>
      </c>
      <c r="H13" s="15">
        <v>114.38800000000001</v>
      </c>
      <c r="I13" s="15">
        <v>4.57</v>
      </c>
      <c r="J13" s="15">
        <v>11.386699999999999</v>
      </c>
      <c r="K13" s="15">
        <v>0.354298</v>
      </c>
      <c r="L13" s="16">
        <f>SUM(1000*I13/H13)</f>
        <v>39.951743189845089</v>
      </c>
      <c r="M13" s="16">
        <f>1000*G13/H13</f>
        <v>0.87421757527013322</v>
      </c>
      <c r="N13" s="16">
        <f>SUM(1/G13)</f>
        <v>10</v>
      </c>
      <c r="O13" s="16">
        <f>SUM(H13/G13)</f>
        <v>1143.8799999999999</v>
      </c>
      <c r="P13" s="16"/>
      <c r="Q13" s="16">
        <f>SUM(K13/G13)</f>
        <v>3.54298</v>
      </c>
      <c r="R13" s="16">
        <f t="shared" si="0"/>
        <v>113.86699999999999</v>
      </c>
      <c r="S13" s="15"/>
      <c r="T13" s="19">
        <v>0.71054399999999995</v>
      </c>
      <c r="U13" s="15"/>
      <c r="V13" s="15">
        <v>19.78</v>
      </c>
      <c r="W13" s="15">
        <v>1.76</v>
      </c>
      <c r="X13" s="15">
        <v>0</v>
      </c>
      <c r="Y13" s="15">
        <v>4.4400000000000004</v>
      </c>
      <c r="AA13" s="13"/>
      <c r="AB13" s="14"/>
      <c r="AC13" s="14"/>
      <c r="AF13" s="31"/>
      <c r="AH13" s="13"/>
      <c r="AI13" s="13"/>
      <c r="AK13" s="13"/>
    </row>
    <row r="14" spans="1:38">
      <c r="A14" s="12" t="s">
        <v>23</v>
      </c>
      <c r="B14" s="5" t="s">
        <v>46</v>
      </c>
      <c r="C14" s="12" t="s">
        <v>103</v>
      </c>
      <c r="E14" s="19">
        <v>0.71055299999999999</v>
      </c>
      <c r="G14" s="47">
        <v>0.15</v>
      </c>
      <c r="H14" s="15">
        <v>110.04</v>
      </c>
      <c r="I14" s="15">
        <v>4.4000000000000004</v>
      </c>
      <c r="J14" s="15">
        <v>10.16</v>
      </c>
      <c r="K14" s="15">
        <v>0.18</v>
      </c>
      <c r="L14" s="16">
        <f>SUM(1000*I14/H14)</f>
        <v>39.985459832788074</v>
      </c>
      <c r="M14" s="16">
        <f>1000*G14/H14</f>
        <v>1.3631406761177753</v>
      </c>
      <c r="N14" s="16">
        <f>SUM(1/G14)</f>
        <v>6.666666666666667</v>
      </c>
      <c r="O14" s="16">
        <f>SUM(H14/G14)</f>
        <v>733.6</v>
      </c>
      <c r="P14" s="16"/>
      <c r="Q14" s="16">
        <f>SUM(K14/G14)</f>
        <v>1.2</v>
      </c>
      <c r="R14" s="16">
        <f t="shared" si="0"/>
        <v>67.733333333333334</v>
      </c>
      <c r="S14" s="15"/>
      <c r="T14" s="19">
        <v>0.71055299999999999</v>
      </c>
      <c r="U14" s="15"/>
      <c r="V14" s="15">
        <v>26.8</v>
      </c>
      <c r="W14" s="15">
        <v>0.48</v>
      </c>
      <c r="X14" s="15">
        <v>0</v>
      </c>
      <c r="Y14" s="15">
        <v>2.85</v>
      </c>
      <c r="Z14" s="16"/>
      <c r="AA14" s="13"/>
      <c r="AB14" s="14"/>
      <c r="AC14" s="14"/>
      <c r="AF14" s="31"/>
      <c r="AH14" s="13"/>
      <c r="AI14" s="13"/>
      <c r="AK14" s="13"/>
    </row>
    <row r="15" spans="1:38">
      <c r="B15" s="5"/>
      <c r="E15" s="19"/>
      <c r="G15" s="47"/>
      <c r="H15" s="15"/>
      <c r="I15" s="15"/>
      <c r="J15" s="15"/>
      <c r="K15" s="15"/>
      <c r="L15" s="16"/>
      <c r="M15" s="16"/>
      <c r="N15" s="16"/>
      <c r="O15" s="16"/>
      <c r="P15" s="16"/>
      <c r="Q15" s="16"/>
      <c r="R15" s="16"/>
      <c r="S15" s="15"/>
      <c r="T15" s="19"/>
      <c r="U15" s="15"/>
      <c r="V15" s="15"/>
      <c r="W15" s="15"/>
      <c r="X15" s="15"/>
      <c r="Y15" s="15"/>
      <c r="Z15" s="16"/>
      <c r="AA15" s="13"/>
      <c r="AB15" s="14"/>
      <c r="AC15" s="14"/>
      <c r="AE15"/>
      <c r="AF15" s="31"/>
      <c r="AH15" s="13"/>
      <c r="AI15" s="13"/>
      <c r="AK15" s="13"/>
    </row>
    <row r="16" spans="1:38">
      <c r="A16" s="11" t="s">
        <v>91</v>
      </c>
      <c r="B16" s="5"/>
      <c r="E16" s="19"/>
      <c r="G16" s="47"/>
      <c r="H16" s="15"/>
      <c r="I16" s="15"/>
      <c r="J16" s="15"/>
      <c r="K16" s="15"/>
      <c r="L16" s="16"/>
      <c r="M16" s="16"/>
      <c r="N16" s="16"/>
      <c r="O16" s="16"/>
      <c r="P16" s="16"/>
      <c r="Q16" s="16"/>
      <c r="R16" s="16"/>
      <c r="S16" s="15"/>
      <c r="T16" s="19"/>
      <c r="U16" s="15"/>
      <c r="V16" s="15"/>
      <c r="W16" s="15"/>
      <c r="X16" s="15"/>
      <c r="Y16" s="15"/>
      <c r="AF16" s="31"/>
    </row>
    <row r="17" spans="1:35">
      <c r="A17" s="20" t="s">
        <v>43</v>
      </c>
      <c r="B17" s="22"/>
      <c r="C17" s="2"/>
      <c r="D17" s="2"/>
      <c r="E17" s="44"/>
      <c r="F17" s="2"/>
      <c r="G17" s="49"/>
      <c r="H17" s="15"/>
      <c r="I17" s="55"/>
      <c r="J17" s="55"/>
      <c r="K17" s="55"/>
      <c r="L17" s="16"/>
      <c r="M17" s="58"/>
      <c r="N17" s="58"/>
      <c r="O17" s="58"/>
      <c r="P17" s="58"/>
      <c r="Q17" s="58"/>
      <c r="R17" s="16"/>
      <c r="S17" s="15"/>
      <c r="T17" s="44"/>
      <c r="U17" s="15"/>
      <c r="V17" s="15"/>
      <c r="W17" s="15"/>
      <c r="X17" s="15"/>
      <c r="Y17" s="15"/>
      <c r="Z17" s="17" t="s">
        <v>89</v>
      </c>
      <c r="AF17" s="31"/>
    </row>
    <row r="18" spans="1:35">
      <c r="A18" s="12" t="s">
        <v>32</v>
      </c>
      <c r="B18" s="5" t="s">
        <v>115</v>
      </c>
      <c r="C18" s="12" t="s">
        <v>100</v>
      </c>
      <c r="E18" s="19"/>
      <c r="G18" s="47">
        <v>9.5000000000000001E-2</v>
      </c>
      <c r="H18" s="15">
        <v>97.092299999999994</v>
      </c>
      <c r="I18" s="15">
        <v>5.25</v>
      </c>
      <c r="J18" s="15">
        <v>9.4903899999999997</v>
      </c>
      <c r="K18" s="15">
        <v>1.17</v>
      </c>
      <c r="L18" s="16">
        <f t="shared" ref="L18:L30" si="1">SUM(1000*I18/H18)</f>
        <v>54.072259077187383</v>
      </c>
      <c r="M18" s="16">
        <f>1000*G18/H18</f>
        <v>0.97845040234910496</v>
      </c>
      <c r="N18" s="16">
        <f>SUM(1/G18)</f>
        <v>10.526315789473685</v>
      </c>
      <c r="O18" s="16">
        <f>SUM(H18/G18)</f>
        <v>1022.0242105263158</v>
      </c>
      <c r="P18" s="16"/>
      <c r="Q18" s="16">
        <f>SUM(K18/G18)</f>
        <v>12.315789473684209</v>
      </c>
      <c r="R18" s="16">
        <f t="shared" si="0"/>
        <v>99.898842105263157</v>
      </c>
      <c r="S18" s="15"/>
      <c r="T18" s="19"/>
      <c r="U18" s="15"/>
      <c r="V18" s="4">
        <v>20.209700000000002</v>
      </c>
      <c r="W18" s="4">
        <v>10.620900000000001</v>
      </c>
      <c r="X18" s="4">
        <v>0</v>
      </c>
      <c r="Y18" s="4">
        <v>8.0134799999999995</v>
      </c>
      <c r="Z18" s="16">
        <v>4.3</v>
      </c>
      <c r="AB18" s="15"/>
      <c r="AC18" s="15"/>
      <c r="AF18" s="31"/>
      <c r="AH18" s="15"/>
      <c r="AI18" s="15"/>
    </row>
    <row r="19" spans="1:35">
      <c r="A19" s="12" t="s">
        <v>33</v>
      </c>
      <c r="B19" s="5" t="s">
        <v>115</v>
      </c>
      <c r="C19" s="12" t="s">
        <v>96</v>
      </c>
      <c r="E19" s="19">
        <v>0.70889800000000003</v>
      </c>
      <c r="G19" s="47">
        <v>0.1</v>
      </c>
      <c r="H19" s="15">
        <v>111.208</v>
      </c>
      <c r="I19" s="15">
        <v>9.92</v>
      </c>
      <c r="J19" s="15">
        <v>9.8017000000000003</v>
      </c>
      <c r="K19" s="15">
        <v>1.93</v>
      </c>
      <c r="L19" s="16">
        <f t="shared" si="1"/>
        <v>89.202215667937566</v>
      </c>
      <c r="M19" s="16">
        <f t="shared" ref="M19:M56" si="2">1000*G19/H19</f>
        <v>0.89921588374937056</v>
      </c>
      <c r="N19" s="16">
        <f t="shared" ref="N19:N43" si="3">SUM(1/G19)</f>
        <v>10</v>
      </c>
      <c r="O19" s="16">
        <f t="shared" ref="O19:O43" si="4">SUM(H19/G19)</f>
        <v>1112.08</v>
      </c>
      <c r="P19" s="16"/>
      <c r="Q19" s="16">
        <f t="shared" ref="Q19:Q43" si="5">SUM(K19/G19)</f>
        <v>19.299999999999997</v>
      </c>
      <c r="R19" s="16">
        <f t="shared" si="0"/>
        <v>98.016999999999996</v>
      </c>
      <c r="S19" s="15"/>
      <c r="T19" s="19">
        <v>0.70889800000000003</v>
      </c>
      <c r="U19" s="15"/>
      <c r="V19" s="39" t="s">
        <v>136</v>
      </c>
      <c r="W19" s="39" t="s">
        <v>136</v>
      </c>
      <c r="X19" s="39" t="s">
        <v>136</v>
      </c>
      <c r="Y19" s="39" t="s">
        <v>136</v>
      </c>
      <c r="Z19" s="16">
        <v>78.8</v>
      </c>
      <c r="AA19" s="11"/>
      <c r="AB19" s="15"/>
      <c r="AC19" s="15"/>
      <c r="AF19" s="31"/>
      <c r="AH19" s="15"/>
      <c r="AI19" s="15"/>
    </row>
    <row r="20" spans="1:35">
      <c r="A20" s="12" t="s">
        <v>34</v>
      </c>
      <c r="B20" s="5" t="s">
        <v>115</v>
      </c>
      <c r="C20" s="12" t="s">
        <v>97</v>
      </c>
      <c r="E20" s="19">
        <v>0.709534</v>
      </c>
      <c r="G20" s="47">
        <v>0.06</v>
      </c>
      <c r="H20" s="15">
        <v>92.6066</v>
      </c>
      <c r="I20" s="15">
        <v>8.31</v>
      </c>
      <c r="J20" s="15">
        <v>17.582599999999999</v>
      </c>
      <c r="K20" s="15">
        <v>1.7180599999999999</v>
      </c>
      <c r="L20" s="16">
        <f t="shared" si="1"/>
        <v>89.734424976189601</v>
      </c>
      <c r="M20" s="16">
        <f t="shared" si="2"/>
        <v>0.64790198538765054</v>
      </c>
      <c r="N20" s="16">
        <f t="shared" si="3"/>
        <v>16.666666666666668</v>
      </c>
      <c r="O20" s="16">
        <f t="shared" si="4"/>
        <v>1543.4433333333334</v>
      </c>
      <c r="P20" s="16"/>
      <c r="Q20" s="16">
        <f t="shared" si="5"/>
        <v>28.634333333333334</v>
      </c>
      <c r="R20" s="16">
        <f t="shared" si="0"/>
        <v>293.04333333333335</v>
      </c>
      <c r="S20" s="15"/>
      <c r="T20" s="19">
        <v>0.709534</v>
      </c>
      <c r="U20" s="15"/>
      <c r="V20" s="39" t="s">
        <v>136</v>
      </c>
      <c r="W20" s="39" t="s">
        <v>136</v>
      </c>
      <c r="X20" s="39" t="s">
        <v>136</v>
      </c>
      <c r="Y20" s="39" t="s">
        <v>136</v>
      </c>
      <c r="Z20" s="16">
        <v>2.9</v>
      </c>
      <c r="AA20" s="11"/>
      <c r="AB20" s="15"/>
      <c r="AC20" s="15"/>
      <c r="AE20" s="15"/>
      <c r="AF20" s="15"/>
      <c r="AG20" s="15"/>
      <c r="AH20" s="15"/>
      <c r="AI20" s="15"/>
    </row>
    <row r="21" spans="1:35">
      <c r="A21" s="12" t="s">
        <v>35</v>
      </c>
      <c r="B21" s="5" t="s">
        <v>115</v>
      </c>
      <c r="C21" s="12" t="s">
        <v>98</v>
      </c>
      <c r="E21" s="19"/>
      <c r="G21" s="47">
        <v>8.5000000000000006E-2</v>
      </c>
      <c r="H21" s="15">
        <v>96.585599999999999</v>
      </c>
      <c r="I21" s="15">
        <v>9.02</v>
      </c>
      <c r="J21" s="15">
        <v>23.731999999999999</v>
      </c>
      <c r="K21" s="15">
        <v>1.27678</v>
      </c>
      <c r="L21" s="16">
        <f t="shared" si="1"/>
        <v>93.388662492131331</v>
      </c>
      <c r="M21" s="16">
        <f t="shared" si="2"/>
        <v>0.88004837159990723</v>
      </c>
      <c r="N21" s="16">
        <f t="shared" si="3"/>
        <v>11.76470588235294</v>
      </c>
      <c r="O21" s="16">
        <f t="shared" si="4"/>
        <v>1136.3011764705882</v>
      </c>
      <c r="P21" s="16"/>
      <c r="Q21" s="16">
        <f t="shared" si="5"/>
        <v>15.020941176470588</v>
      </c>
      <c r="R21" s="16">
        <f t="shared" si="0"/>
        <v>279.2</v>
      </c>
      <c r="S21" s="15"/>
      <c r="T21" s="19"/>
      <c r="U21" s="15"/>
      <c r="V21" s="39" t="s">
        <v>136</v>
      </c>
      <c r="W21" s="39" t="s">
        <v>136</v>
      </c>
      <c r="X21" s="39" t="s">
        <v>136</v>
      </c>
      <c r="Y21" s="39" t="s">
        <v>136</v>
      </c>
      <c r="Z21" s="16">
        <v>17</v>
      </c>
      <c r="AA21" s="11"/>
      <c r="AB21" s="15"/>
      <c r="AC21" s="15"/>
      <c r="AD21" s="15"/>
      <c r="AE21" s="15"/>
      <c r="AF21" s="15"/>
      <c r="AG21" s="15"/>
      <c r="AH21" s="15"/>
      <c r="AI21" s="15"/>
    </row>
    <row r="22" spans="1:35">
      <c r="A22" s="12" t="s">
        <v>36</v>
      </c>
      <c r="B22" s="5" t="s">
        <v>115</v>
      </c>
      <c r="C22" s="12" t="s">
        <v>97</v>
      </c>
      <c r="E22" s="19">
        <v>0.70932099999999998</v>
      </c>
      <c r="G22" s="47">
        <v>0.11</v>
      </c>
      <c r="H22" s="15">
        <v>80.987499999999997</v>
      </c>
      <c r="I22" s="15">
        <v>7.42</v>
      </c>
      <c r="J22" s="15">
        <v>9.88551</v>
      </c>
      <c r="K22" s="15">
        <v>1.47217</v>
      </c>
      <c r="L22" s="16">
        <f t="shared" si="1"/>
        <v>91.619077018058348</v>
      </c>
      <c r="M22" s="16">
        <f t="shared" si="2"/>
        <v>1.3582342954159592</v>
      </c>
      <c r="N22" s="16">
        <f t="shared" si="3"/>
        <v>9.0909090909090917</v>
      </c>
      <c r="O22" s="16">
        <f t="shared" si="4"/>
        <v>736.25</v>
      </c>
      <c r="P22" s="16"/>
      <c r="Q22" s="16">
        <f t="shared" si="5"/>
        <v>13.383363636363637</v>
      </c>
      <c r="R22" s="16">
        <f t="shared" si="0"/>
        <v>89.868272727272725</v>
      </c>
      <c r="S22" s="15"/>
      <c r="T22" s="19">
        <v>0.70932099999999998</v>
      </c>
      <c r="U22" s="15"/>
      <c r="V22" s="39" t="s">
        <v>136</v>
      </c>
      <c r="W22" s="39" t="s">
        <v>136</v>
      </c>
      <c r="X22" s="39" t="s">
        <v>136</v>
      </c>
      <c r="Y22" s="39" t="s">
        <v>136</v>
      </c>
      <c r="Z22" s="16">
        <v>3.3</v>
      </c>
      <c r="AA22" s="11"/>
      <c r="AB22" s="15"/>
      <c r="AC22" s="15"/>
      <c r="AD22" s="15"/>
      <c r="AE22" s="15"/>
      <c r="AF22" s="15"/>
      <c r="AG22" s="15"/>
      <c r="AH22" s="15"/>
      <c r="AI22" s="15"/>
    </row>
    <row r="23" spans="1:35">
      <c r="A23" s="12" t="s">
        <v>37</v>
      </c>
      <c r="B23" s="5" t="s">
        <v>115</v>
      </c>
      <c r="C23" s="12" t="s">
        <v>99</v>
      </c>
      <c r="E23" s="19">
        <v>0.70965999999999996</v>
      </c>
      <c r="G23" s="47">
        <v>8.4000000000000005E-2</v>
      </c>
      <c r="H23" s="15">
        <v>80.160399999999996</v>
      </c>
      <c r="I23" s="15">
        <v>2.85</v>
      </c>
      <c r="J23" s="15">
        <v>6.4645700000000001</v>
      </c>
      <c r="K23" s="15">
        <v>1.9672700000000001</v>
      </c>
      <c r="L23" s="16">
        <f t="shared" si="1"/>
        <v>35.553714801822345</v>
      </c>
      <c r="M23" s="16">
        <f t="shared" si="2"/>
        <v>1.047898962580027</v>
      </c>
      <c r="N23" s="16">
        <f t="shared" si="3"/>
        <v>11.904761904761903</v>
      </c>
      <c r="O23" s="16">
        <f t="shared" si="4"/>
        <v>954.29047619047606</v>
      </c>
      <c r="P23" s="16"/>
      <c r="Q23" s="16">
        <f t="shared" si="5"/>
        <v>23.41988095238095</v>
      </c>
      <c r="R23" s="16">
        <f t="shared" si="0"/>
        <v>76.959166666666661</v>
      </c>
      <c r="S23" s="15"/>
      <c r="T23" s="19">
        <v>0.70965999999999996</v>
      </c>
      <c r="U23" s="15"/>
      <c r="V23">
        <v>8.25</v>
      </c>
      <c r="W23">
        <v>3.87</v>
      </c>
      <c r="X23" s="4">
        <v>0</v>
      </c>
      <c r="Y23">
        <v>9.3699999999999992</v>
      </c>
      <c r="Z23" s="16">
        <v>138</v>
      </c>
      <c r="AA23" s="11"/>
      <c r="AB23" s="15"/>
      <c r="AC23"/>
      <c r="AD23" s="38"/>
      <c r="AE23" s="14"/>
      <c r="AF23" s="15"/>
      <c r="AG23" s="15"/>
      <c r="AH23" s="15"/>
      <c r="AI23" s="15"/>
    </row>
    <row r="24" spans="1:35">
      <c r="A24" s="11" t="s">
        <v>24</v>
      </c>
      <c r="B24" s="5" t="s">
        <v>47</v>
      </c>
      <c r="C24" s="12" t="s">
        <v>97</v>
      </c>
      <c r="E24" s="19">
        <v>0.70938599999999996</v>
      </c>
      <c r="G24" s="47">
        <v>8.5000000000000006E-2</v>
      </c>
      <c r="H24" s="15">
        <v>94.663300000000007</v>
      </c>
      <c r="I24" s="15">
        <v>6.45</v>
      </c>
      <c r="J24" s="15">
        <v>9.5067299999999992</v>
      </c>
      <c r="K24" s="15">
        <v>0.60305600000000004</v>
      </c>
      <c r="L24" s="16">
        <f t="shared" si="1"/>
        <v>68.136225971416579</v>
      </c>
      <c r="M24" s="16">
        <f t="shared" si="2"/>
        <v>0.8979192569876604</v>
      </c>
      <c r="N24" s="16">
        <f t="shared" si="3"/>
        <v>11.76470588235294</v>
      </c>
      <c r="O24" s="16">
        <f t="shared" si="4"/>
        <v>1113.6858823529412</v>
      </c>
      <c r="P24" s="16"/>
      <c r="Q24" s="16">
        <f t="shared" si="5"/>
        <v>7.0947764705882355</v>
      </c>
      <c r="R24" s="16">
        <f t="shared" si="0"/>
        <v>111.84388235294116</v>
      </c>
      <c r="S24" s="15"/>
      <c r="T24" s="19">
        <v>0.70938599999999996</v>
      </c>
      <c r="U24" s="15"/>
      <c r="V24" s="39" t="s">
        <v>136</v>
      </c>
      <c r="W24" s="39" t="s">
        <v>136</v>
      </c>
      <c r="X24" s="39" t="s">
        <v>136</v>
      </c>
      <c r="Y24" s="39" t="s">
        <v>136</v>
      </c>
      <c r="Z24" s="16">
        <f>SUM(60/12)</f>
        <v>5</v>
      </c>
      <c r="AB24" s="15"/>
      <c r="AC24"/>
      <c r="AD24" s="38"/>
      <c r="AE24" s="14"/>
      <c r="AF24" s="15"/>
      <c r="AG24" s="15"/>
      <c r="AH24" s="15"/>
      <c r="AI24" s="15"/>
    </row>
    <row r="25" spans="1:35">
      <c r="A25" s="21" t="s">
        <v>49</v>
      </c>
      <c r="B25" s="23"/>
      <c r="C25" s="13"/>
      <c r="D25" s="13"/>
      <c r="E25" s="19"/>
      <c r="G25" s="47"/>
      <c r="H25" s="54"/>
      <c r="I25" s="54"/>
      <c r="J25" s="15"/>
      <c r="K25" s="15"/>
      <c r="L25" s="16"/>
      <c r="M25" s="16"/>
      <c r="N25" s="16"/>
      <c r="O25" s="16"/>
      <c r="P25" s="16"/>
      <c r="Q25" s="16"/>
      <c r="R25" s="16"/>
      <c r="S25" s="15"/>
      <c r="T25" s="61"/>
      <c r="U25" s="15"/>
      <c r="Z25" s="16"/>
      <c r="AA25" s="33"/>
      <c r="AB25" s="15"/>
      <c r="AC25" s="15"/>
      <c r="AD25" s="15"/>
      <c r="AE25" s="15"/>
      <c r="AF25" s="15"/>
      <c r="AG25" s="15"/>
      <c r="AH25" s="15"/>
      <c r="AI25" s="15"/>
    </row>
    <row r="26" spans="1:35">
      <c r="A26" s="12" t="s">
        <v>13</v>
      </c>
      <c r="B26" s="5" t="s">
        <v>44</v>
      </c>
      <c r="C26" s="12" t="s">
        <v>100</v>
      </c>
      <c r="E26" s="19">
        <v>0.70922300000000005</v>
      </c>
      <c r="G26" s="47">
        <v>5.5E-2</v>
      </c>
      <c r="H26" s="15">
        <v>102.623</v>
      </c>
      <c r="I26" s="15">
        <v>5.65</v>
      </c>
      <c r="J26" s="15">
        <v>11.008900000000001</v>
      </c>
      <c r="K26" s="15">
        <v>2.1691799999999999</v>
      </c>
      <c r="L26" s="16">
        <f t="shared" si="1"/>
        <v>55.05588415852197</v>
      </c>
      <c r="M26" s="16">
        <f t="shared" si="2"/>
        <v>0.53594223517145279</v>
      </c>
      <c r="N26" s="16">
        <f t="shared" si="3"/>
        <v>18.181818181818183</v>
      </c>
      <c r="O26" s="16">
        <f t="shared" si="4"/>
        <v>1865.8727272727274</v>
      </c>
      <c r="P26" s="16"/>
      <c r="Q26" s="16">
        <f t="shared" si="5"/>
        <v>39.43963636363636</v>
      </c>
      <c r="R26" s="16">
        <f t="shared" si="0"/>
        <v>200.16181818181821</v>
      </c>
      <c r="S26" s="15"/>
      <c r="T26" s="19">
        <v>0.70922300000000005</v>
      </c>
      <c r="U26" s="15"/>
      <c r="V26" s="4">
        <v>20.5992</v>
      </c>
      <c r="W26" s="4">
        <v>11.3551</v>
      </c>
      <c r="X26" s="4">
        <v>0</v>
      </c>
      <c r="Y26" s="4">
        <v>7.85351</v>
      </c>
      <c r="Z26" s="16">
        <v>3.5</v>
      </c>
      <c r="AA26" s="33"/>
      <c r="AB26" s="15"/>
      <c r="AC26" s="15"/>
      <c r="AD26" s="15"/>
      <c r="AE26" s="15"/>
      <c r="AF26" s="15"/>
      <c r="AG26" s="15"/>
      <c r="AH26" s="15"/>
      <c r="AI26" s="15"/>
    </row>
    <row r="27" spans="1:35">
      <c r="A27" s="11" t="s">
        <v>14</v>
      </c>
      <c r="B27" s="5" t="s">
        <v>44</v>
      </c>
      <c r="C27" s="12" t="s">
        <v>96</v>
      </c>
      <c r="E27" s="19">
        <v>0.71005799999999997</v>
      </c>
      <c r="G27" s="47">
        <v>0.1</v>
      </c>
      <c r="H27" s="15">
        <v>80.675600000000003</v>
      </c>
      <c r="I27" s="15">
        <v>6.33</v>
      </c>
      <c r="J27" s="15">
        <v>9.8934200000000008</v>
      </c>
      <c r="K27" s="15">
        <v>1.0523499999999999</v>
      </c>
      <c r="L27" s="16">
        <f t="shared" si="1"/>
        <v>78.462385157346205</v>
      </c>
      <c r="M27" s="16">
        <f t="shared" si="2"/>
        <v>1.2395321509849322</v>
      </c>
      <c r="N27" s="16">
        <f t="shared" si="3"/>
        <v>10</v>
      </c>
      <c r="O27" s="16">
        <f t="shared" si="4"/>
        <v>806.75599999999997</v>
      </c>
      <c r="P27" s="16"/>
      <c r="Q27" s="16">
        <f t="shared" si="5"/>
        <v>10.523499999999999</v>
      </c>
      <c r="R27" s="16">
        <f t="shared" si="0"/>
        <v>98.934200000000004</v>
      </c>
      <c r="S27" s="15"/>
      <c r="T27" s="19">
        <v>0.71005799999999997</v>
      </c>
      <c r="U27" s="15"/>
      <c r="V27" s="4">
        <v>13.9419</v>
      </c>
      <c r="W27" s="4">
        <v>3.3272900000000001</v>
      </c>
      <c r="X27" s="4">
        <v>0</v>
      </c>
      <c r="Y27" s="4">
        <v>4.9942000000000002</v>
      </c>
      <c r="Z27" s="16">
        <v>289.60000000000002</v>
      </c>
      <c r="AA27" s="13"/>
      <c r="AB27" s="15"/>
      <c r="AC27" s="15"/>
      <c r="AD27" s="15"/>
      <c r="AE27" s="15"/>
      <c r="AF27" s="15"/>
      <c r="AG27" s="15"/>
      <c r="AH27" s="15"/>
      <c r="AI27" s="15"/>
    </row>
    <row r="28" spans="1:35">
      <c r="A28" s="12" t="s">
        <v>15</v>
      </c>
      <c r="B28" s="5" t="s">
        <v>44</v>
      </c>
      <c r="C28" s="12" t="s">
        <v>97</v>
      </c>
      <c r="E28" s="19">
        <v>0.70966300000000004</v>
      </c>
      <c r="G28" s="47">
        <v>0.1</v>
      </c>
      <c r="H28" s="15">
        <v>92.200599999999994</v>
      </c>
      <c r="I28" s="15">
        <v>8.42</v>
      </c>
      <c r="J28" s="15">
        <v>17.838000000000001</v>
      </c>
      <c r="K28" s="15">
        <v>1.78173</v>
      </c>
      <c r="L28" s="16">
        <f t="shared" si="1"/>
        <v>91.322616121803989</v>
      </c>
      <c r="M28" s="16">
        <f t="shared" si="2"/>
        <v>1.0845916404014726</v>
      </c>
      <c r="N28" s="16">
        <f t="shared" si="3"/>
        <v>10</v>
      </c>
      <c r="O28" s="16">
        <f t="shared" si="4"/>
        <v>922.00599999999986</v>
      </c>
      <c r="P28" s="16"/>
      <c r="Q28" s="16">
        <f t="shared" si="5"/>
        <v>17.817299999999999</v>
      </c>
      <c r="R28" s="16">
        <f t="shared" si="0"/>
        <v>178.38</v>
      </c>
      <c r="S28" s="15"/>
      <c r="T28" s="19">
        <v>0.70966300000000004</v>
      </c>
      <c r="U28" s="15"/>
      <c r="V28" s="4">
        <v>27.242999999999999</v>
      </c>
      <c r="W28" s="4">
        <v>13.3538</v>
      </c>
      <c r="X28" s="4">
        <v>0</v>
      </c>
      <c r="Y28" s="4">
        <v>23.569500000000001</v>
      </c>
      <c r="Z28" s="16">
        <f>SUM(60/3)</f>
        <v>20</v>
      </c>
      <c r="AA28" s="13"/>
      <c r="AB28" s="15"/>
      <c r="AC28" s="15"/>
      <c r="AD28" s="15"/>
      <c r="AE28" s="15"/>
      <c r="AF28" s="15"/>
      <c r="AG28" s="15"/>
      <c r="AH28" s="15"/>
      <c r="AI28" s="15"/>
    </row>
    <row r="29" spans="1:35">
      <c r="A29" s="12" t="s">
        <v>16</v>
      </c>
      <c r="B29" s="5" t="s">
        <v>44</v>
      </c>
      <c r="C29" s="12" t="s">
        <v>121</v>
      </c>
      <c r="E29" s="19">
        <v>0.70945999999999998</v>
      </c>
      <c r="G29" s="47">
        <v>7.4999999999999997E-2</v>
      </c>
      <c r="H29" s="15">
        <v>90.7316</v>
      </c>
      <c r="I29" s="15">
        <v>8</v>
      </c>
      <c r="J29" s="15">
        <v>27.630199999999999</v>
      </c>
      <c r="K29" s="15">
        <v>1.52576</v>
      </c>
      <c r="L29" s="16">
        <f t="shared" si="1"/>
        <v>88.172147300389284</v>
      </c>
      <c r="M29" s="16">
        <f t="shared" si="2"/>
        <v>0.82661388094114951</v>
      </c>
      <c r="N29" s="16">
        <f t="shared" si="3"/>
        <v>13.333333333333334</v>
      </c>
      <c r="O29" s="16">
        <f t="shared" si="4"/>
        <v>1209.7546666666667</v>
      </c>
      <c r="P29" s="16"/>
      <c r="Q29" s="16">
        <f t="shared" si="5"/>
        <v>20.343466666666668</v>
      </c>
      <c r="R29" s="16">
        <f t="shared" si="0"/>
        <v>368.40266666666668</v>
      </c>
      <c r="S29" s="15"/>
      <c r="T29" s="19">
        <v>0.70945999999999998</v>
      </c>
      <c r="U29" s="15"/>
      <c r="V29" s="4">
        <v>52.836500000000001</v>
      </c>
      <c r="W29" s="4">
        <v>5.3886200000000004</v>
      </c>
      <c r="X29" s="4">
        <v>0</v>
      </c>
      <c r="Y29" s="4">
        <v>14.2662</v>
      </c>
      <c r="Z29" s="16">
        <v>43.2</v>
      </c>
      <c r="AA29" s="13"/>
      <c r="AB29" s="15"/>
      <c r="AC29" s="15"/>
      <c r="AD29" s="15"/>
      <c r="AE29" s="15"/>
      <c r="AF29" s="15"/>
      <c r="AG29" s="15"/>
      <c r="AH29" s="15"/>
      <c r="AI29" s="15"/>
    </row>
    <row r="30" spans="1:35">
      <c r="A30" s="12" t="s">
        <v>17</v>
      </c>
      <c r="B30" s="5" t="s">
        <v>44</v>
      </c>
      <c r="C30" s="12" t="s">
        <v>97</v>
      </c>
      <c r="E30" s="19">
        <v>0.70922099999999999</v>
      </c>
      <c r="G30" s="47">
        <v>6.5000000000000002E-2</v>
      </c>
      <c r="H30" s="15">
        <v>77.025700000000001</v>
      </c>
      <c r="I30" s="15">
        <v>7.62</v>
      </c>
      <c r="J30" s="15">
        <v>9.7132400000000008</v>
      </c>
      <c r="K30" s="15">
        <v>2.4677799999999999</v>
      </c>
      <c r="L30" s="16">
        <f t="shared" si="1"/>
        <v>98.928020128346773</v>
      </c>
      <c r="M30" s="16">
        <f t="shared" si="2"/>
        <v>0.84387418744652753</v>
      </c>
      <c r="N30" s="16">
        <f t="shared" si="3"/>
        <v>15.384615384615383</v>
      </c>
      <c r="O30" s="16">
        <f t="shared" si="4"/>
        <v>1185.0107692307693</v>
      </c>
      <c r="P30" s="16"/>
      <c r="Q30" s="16">
        <f t="shared" si="5"/>
        <v>37.965846153846151</v>
      </c>
      <c r="R30" s="16">
        <f t="shared" si="0"/>
        <v>149.43446153846153</v>
      </c>
      <c r="S30" s="15"/>
      <c r="T30" s="19">
        <v>0.70922099999999999</v>
      </c>
      <c r="U30" s="15"/>
      <c r="V30" s="4">
        <v>20.339099999999998</v>
      </c>
      <c r="W30" s="4">
        <v>15.8848</v>
      </c>
      <c r="X30" s="4">
        <v>0</v>
      </c>
      <c r="Y30" s="4">
        <v>5.31914</v>
      </c>
      <c r="Z30" s="16">
        <f>SUM(60/27.4)</f>
        <v>2.1897810218978102</v>
      </c>
      <c r="AA30" s="13"/>
      <c r="AB30" s="15"/>
      <c r="AC30" s="15"/>
      <c r="AD30" s="15"/>
      <c r="AE30" s="15"/>
      <c r="AF30" s="15"/>
      <c r="AG30" s="15"/>
      <c r="AH30" s="15"/>
      <c r="AI30" s="15"/>
    </row>
    <row r="31" spans="1:35">
      <c r="A31" s="11" t="s">
        <v>18</v>
      </c>
      <c r="B31" s="5" t="s">
        <v>44</v>
      </c>
      <c r="C31" s="12" t="s">
        <v>99</v>
      </c>
      <c r="E31" s="19"/>
      <c r="G31" s="47">
        <v>0.05</v>
      </c>
      <c r="H31" s="15">
        <v>106.495</v>
      </c>
      <c r="I31" s="15">
        <v>3.95</v>
      </c>
      <c r="J31" s="15">
        <v>18.747599999999998</v>
      </c>
      <c r="K31" s="15">
        <v>1.7721</v>
      </c>
      <c r="L31" s="16">
        <f t="shared" ref="L31:L42" si="6">SUM(1000*I31/H31)</f>
        <v>37.090943236771679</v>
      </c>
      <c r="M31" s="16">
        <f t="shared" si="2"/>
        <v>0.46950561059204654</v>
      </c>
      <c r="N31" s="16">
        <f t="shared" si="3"/>
        <v>20</v>
      </c>
      <c r="O31" s="16">
        <f t="shared" si="4"/>
        <v>2129.9</v>
      </c>
      <c r="P31" s="16"/>
      <c r="Q31" s="16">
        <f t="shared" si="5"/>
        <v>35.442</v>
      </c>
      <c r="R31" s="16">
        <f t="shared" si="0"/>
        <v>374.95199999999994</v>
      </c>
      <c r="S31" s="15"/>
      <c r="T31" s="19"/>
      <c r="U31" s="15"/>
      <c r="V31" s="4">
        <v>38.264800000000001</v>
      </c>
      <c r="W31" s="4">
        <v>1.6379999999999999</v>
      </c>
      <c r="X31" s="4">
        <v>0</v>
      </c>
      <c r="Y31" s="4">
        <v>10.9054</v>
      </c>
      <c r="Z31" s="16">
        <v>148.19999999999999</v>
      </c>
      <c r="AA31" s="13"/>
      <c r="AC31" s="15"/>
      <c r="AD31" s="15"/>
      <c r="AE31" s="15"/>
      <c r="AF31" s="15"/>
      <c r="AG31" s="15"/>
      <c r="AH31" s="15"/>
      <c r="AI31" s="15"/>
    </row>
    <row r="32" spans="1:35">
      <c r="A32" s="11" t="s">
        <v>19</v>
      </c>
      <c r="B32" s="5" t="s">
        <v>44</v>
      </c>
      <c r="C32" s="12" t="s">
        <v>101</v>
      </c>
      <c r="E32" s="19"/>
      <c r="G32" s="47">
        <v>0.06</v>
      </c>
      <c r="H32" s="15">
        <v>120.03</v>
      </c>
      <c r="I32" s="15">
        <v>8.9</v>
      </c>
      <c r="J32" s="15">
        <v>21.223400000000002</v>
      </c>
      <c r="K32" s="15">
        <v>1.3520799999999999</v>
      </c>
      <c r="L32" s="16">
        <f t="shared" si="6"/>
        <v>74.148129634258098</v>
      </c>
      <c r="M32" s="16">
        <f t="shared" si="2"/>
        <v>0.49987503124218946</v>
      </c>
      <c r="N32" s="16">
        <f t="shared" si="3"/>
        <v>16.666666666666668</v>
      </c>
      <c r="O32" s="16">
        <f t="shared" si="4"/>
        <v>2000.5</v>
      </c>
      <c r="P32" s="16"/>
      <c r="Q32" s="16">
        <f t="shared" si="5"/>
        <v>22.534666666666666</v>
      </c>
      <c r="R32" s="16">
        <f t="shared" si="0"/>
        <v>353.72333333333336</v>
      </c>
      <c r="S32" s="15"/>
      <c r="T32" s="19"/>
      <c r="U32" s="15"/>
      <c r="V32" s="4">
        <v>38.363700000000001</v>
      </c>
      <c r="W32" s="4">
        <v>4.3287699999999996</v>
      </c>
      <c r="X32" s="4">
        <v>0</v>
      </c>
      <c r="Y32" s="4">
        <v>9.9722799999999996</v>
      </c>
      <c r="Z32" s="16">
        <v>698.3</v>
      </c>
      <c r="AA32" s="13"/>
      <c r="AB32" s="15"/>
      <c r="AC32" s="15"/>
      <c r="AD32" s="15"/>
      <c r="AE32" s="15"/>
      <c r="AF32" s="15"/>
      <c r="AG32" s="15"/>
      <c r="AH32" s="15"/>
      <c r="AI32" s="15"/>
    </row>
    <row r="33" spans="1:35">
      <c r="A33" s="12" t="s">
        <v>20</v>
      </c>
      <c r="B33" s="5" t="s">
        <v>44</v>
      </c>
      <c r="C33" s="12" t="s">
        <v>97</v>
      </c>
      <c r="E33" s="19">
        <v>0.71032399999999996</v>
      </c>
      <c r="G33" s="47">
        <v>0.13500000000000001</v>
      </c>
      <c r="H33" s="15">
        <v>92.317999999999998</v>
      </c>
      <c r="I33" s="15">
        <v>5.52</v>
      </c>
      <c r="J33" s="15">
        <v>17.134699999999999</v>
      </c>
      <c r="K33" s="15">
        <v>1.1479699999999999</v>
      </c>
      <c r="L33" s="16">
        <f t="shared" si="6"/>
        <v>59.793323078922853</v>
      </c>
      <c r="M33" s="16">
        <f t="shared" si="2"/>
        <v>1.4623367057345265</v>
      </c>
      <c r="N33" s="16">
        <f t="shared" si="3"/>
        <v>7.4074074074074066</v>
      </c>
      <c r="O33" s="16">
        <f t="shared" si="4"/>
        <v>683.83703703703702</v>
      </c>
      <c r="P33" s="16"/>
      <c r="Q33" s="16">
        <f t="shared" si="5"/>
        <v>8.5034814814814812</v>
      </c>
      <c r="R33" s="16">
        <f t="shared" si="0"/>
        <v>126.92370370370368</v>
      </c>
      <c r="S33" s="15"/>
      <c r="T33" s="19">
        <v>0.71032399999999996</v>
      </c>
      <c r="U33" s="15"/>
      <c r="V33" s="4">
        <v>26.6906</v>
      </c>
      <c r="W33" s="4">
        <v>4.8846400000000001</v>
      </c>
      <c r="X33" s="4">
        <v>0</v>
      </c>
      <c r="Y33" s="4">
        <v>8.4719200000000008</v>
      </c>
      <c r="Z33" s="16">
        <v>13.4</v>
      </c>
      <c r="AA33" s="13"/>
      <c r="AB33" s="15"/>
      <c r="AC33" s="15"/>
      <c r="AE33" s="15"/>
      <c r="AF33" s="15"/>
      <c r="AG33" s="15"/>
      <c r="AH33" s="15"/>
      <c r="AI33" s="15"/>
    </row>
    <row r="34" spans="1:35">
      <c r="A34" s="11" t="s">
        <v>21</v>
      </c>
      <c r="B34" s="5" t="s">
        <v>46</v>
      </c>
      <c r="C34" s="12" t="s">
        <v>97</v>
      </c>
      <c r="E34" s="19"/>
      <c r="G34" s="47">
        <v>0.105</v>
      </c>
      <c r="H34" s="15">
        <v>94.936800000000005</v>
      </c>
      <c r="I34" s="15">
        <v>5.7</v>
      </c>
      <c r="J34" s="15">
        <v>9.6986600000000003</v>
      </c>
      <c r="K34" s="15">
        <v>3.3782700000000001</v>
      </c>
      <c r="L34" s="16">
        <f t="shared" si="6"/>
        <v>60.039942361655328</v>
      </c>
      <c r="M34" s="16">
        <f t="shared" si="2"/>
        <v>1.1059989382410191</v>
      </c>
      <c r="N34" s="16">
        <f t="shared" si="3"/>
        <v>9.5238095238095237</v>
      </c>
      <c r="O34" s="16">
        <f t="shared" si="4"/>
        <v>904.16000000000008</v>
      </c>
      <c r="P34" s="16"/>
      <c r="Q34" s="16">
        <f t="shared" si="5"/>
        <v>32.173999999999999</v>
      </c>
      <c r="R34" s="16">
        <f t="shared" si="0"/>
        <v>92.368190476190478</v>
      </c>
      <c r="S34" s="15"/>
      <c r="T34" s="19"/>
      <c r="U34" s="15"/>
      <c r="V34" s="4">
        <v>16.202300000000001</v>
      </c>
      <c r="W34" s="4">
        <v>2.9683999999999999</v>
      </c>
      <c r="X34" s="4">
        <v>0</v>
      </c>
      <c r="Y34" s="4">
        <v>4.4008799999999999</v>
      </c>
      <c r="Z34" s="16">
        <f>SUM(60/11)</f>
        <v>5.4545454545454541</v>
      </c>
      <c r="AA34" s="13"/>
      <c r="AB34" s="15"/>
      <c r="AC34" s="15"/>
      <c r="AD34" s="15"/>
      <c r="AE34" s="15"/>
      <c r="AF34" s="15"/>
      <c r="AG34" s="15"/>
      <c r="AH34" s="15"/>
      <c r="AI34" s="15"/>
    </row>
    <row r="35" spans="1:35">
      <c r="A35" s="12" t="s">
        <v>22</v>
      </c>
      <c r="B35" s="5" t="s">
        <v>44</v>
      </c>
      <c r="C35" s="12" t="s">
        <v>102</v>
      </c>
      <c r="E35" s="19">
        <v>0.70989500000000005</v>
      </c>
      <c r="G35" s="47">
        <v>0.13</v>
      </c>
      <c r="H35" s="15">
        <v>94.093000000000004</v>
      </c>
      <c r="I35" s="15">
        <v>3.98</v>
      </c>
      <c r="J35" s="15">
        <v>18.4682</v>
      </c>
      <c r="K35" s="15">
        <v>1.8136000000000001</v>
      </c>
      <c r="L35" s="16">
        <f t="shared" si="6"/>
        <v>42.298576939836117</v>
      </c>
      <c r="M35" s="16">
        <f t="shared" si="2"/>
        <v>1.3816118095926371</v>
      </c>
      <c r="N35" s="16">
        <f t="shared" si="3"/>
        <v>7.6923076923076916</v>
      </c>
      <c r="O35" s="16">
        <f t="shared" si="4"/>
        <v>723.79230769230765</v>
      </c>
      <c r="P35" s="16"/>
      <c r="Q35" s="16">
        <f t="shared" si="5"/>
        <v>13.950769230769231</v>
      </c>
      <c r="R35" s="16">
        <f t="shared" si="0"/>
        <v>142.06307692307692</v>
      </c>
      <c r="S35" s="15"/>
      <c r="T35" s="19">
        <v>0.70989500000000005</v>
      </c>
      <c r="U35" s="15"/>
      <c r="V35" s="4">
        <v>37.860100000000003</v>
      </c>
      <c r="W35" s="4">
        <v>1.8518600000000001</v>
      </c>
      <c r="X35" s="4">
        <v>0</v>
      </c>
      <c r="Y35" s="4">
        <v>10.8461</v>
      </c>
      <c r="Z35" s="16">
        <v>491</v>
      </c>
      <c r="AA35" s="13"/>
      <c r="AC35" s="15"/>
      <c r="AD35" s="15"/>
      <c r="AE35" s="15"/>
      <c r="AF35" s="15"/>
      <c r="AG35" s="15"/>
      <c r="AH35" s="15"/>
      <c r="AI35" s="15"/>
    </row>
    <row r="36" spans="1:35">
      <c r="B36" s="5"/>
      <c r="E36" s="19"/>
      <c r="G36" s="47"/>
      <c r="H36" s="15"/>
      <c r="I36" s="15"/>
      <c r="J36" s="15"/>
      <c r="K36" s="15"/>
      <c r="L36" s="16"/>
      <c r="M36" s="16"/>
      <c r="N36" s="16"/>
      <c r="O36" s="16"/>
      <c r="P36" s="16"/>
      <c r="Q36" s="16"/>
      <c r="R36" s="16"/>
      <c r="S36" s="15"/>
      <c r="T36" s="19"/>
      <c r="U36" s="15"/>
      <c r="Z36" s="16"/>
      <c r="AB36" s="15"/>
      <c r="AC36" s="15"/>
      <c r="AD36" s="15"/>
      <c r="AE36" s="15"/>
      <c r="AF36" s="15"/>
      <c r="AG36" s="15"/>
      <c r="AH36" s="15"/>
      <c r="AI36" s="15"/>
    </row>
    <row r="37" spans="1:35">
      <c r="A37" s="11" t="s">
        <v>25</v>
      </c>
      <c r="B37" s="5" t="s">
        <v>45</v>
      </c>
      <c r="C37" s="12" t="s">
        <v>96</v>
      </c>
      <c r="E37" s="19">
        <v>0.70997100000000002</v>
      </c>
      <c r="G37" s="47">
        <v>8.5000000000000006E-2</v>
      </c>
      <c r="H37" s="15">
        <v>80.662300000000002</v>
      </c>
      <c r="I37" s="15">
        <v>6.85</v>
      </c>
      <c r="J37" s="15">
        <v>9.8641799999999993</v>
      </c>
      <c r="K37" s="15">
        <v>1.0337400000000001</v>
      </c>
      <c r="L37" s="16">
        <f t="shared" si="6"/>
        <v>84.921952386678782</v>
      </c>
      <c r="M37" s="16">
        <f t="shared" si="2"/>
        <v>1.0537760515135324</v>
      </c>
      <c r="N37" s="16">
        <f t="shared" si="3"/>
        <v>11.76470588235294</v>
      </c>
      <c r="O37" s="16">
        <f t="shared" si="4"/>
        <v>948.96823529411756</v>
      </c>
      <c r="P37" s="16"/>
      <c r="Q37" s="16">
        <f t="shared" si="5"/>
        <v>12.161647058823529</v>
      </c>
      <c r="R37" s="16">
        <f t="shared" si="0"/>
        <v>116.04917647058822</v>
      </c>
      <c r="S37" s="15"/>
      <c r="T37" s="19">
        <v>0.70997100000000002</v>
      </c>
      <c r="U37" s="15"/>
      <c r="V37" s="4">
        <v>14.148300000000001</v>
      </c>
      <c r="W37" s="4">
        <v>5.5958699999999997</v>
      </c>
      <c r="X37" s="4">
        <v>0</v>
      </c>
      <c r="Y37" s="4">
        <v>5.3527199999999997</v>
      </c>
      <c r="Z37" s="16">
        <v>107</v>
      </c>
      <c r="AA37" s="13"/>
      <c r="AB37" s="15"/>
      <c r="AC37" s="15"/>
      <c r="AD37" s="15"/>
      <c r="AE37" s="15"/>
      <c r="AF37" s="15"/>
      <c r="AG37" s="15"/>
      <c r="AH37" s="15"/>
      <c r="AI37" s="15"/>
    </row>
    <row r="38" spans="1:35">
      <c r="A38" s="12" t="s">
        <v>26</v>
      </c>
      <c r="B38" s="5" t="s">
        <v>45</v>
      </c>
      <c r="C38" s="12" t="s">
        <v>97</v>
      </c>
      <c r="E38" s="19">
        <v>0.709507</v>
      </c>
      <c r="G38" s="47">
        <v>9.5000000000000001E-2</v>
      </c>
      <c r="H38" s="15">
        <v>92.014899999999997</v>
      </c>
      <c r="I38" s="15">
        <v>8.39</v>
      </c>
      <c r="J38" s="15">
        <v>18.603000000000002</v>
      </c>
      <c r="K38" s="15">
        <v>1.66208</v>
      </c>
      <c r="L38" s="16">
        <f t="shared" si="6"/>
        <v>91.180884834956075</v>
      </c>
      <c r="M38" s="16">
        <f t="shared" si="2"/>
        <v>1.0324414850203609</v>
      </c>
      <c r="N38" s="16">
        <f t="shared" si="3"/>
        <v>10.526315789473685</v>
      </c>
      <c r="O38" s="16">
        <f t="shared" si="4"/>
        <v>968.57789473684204</v>
      </c>
      <c r="P38" s="16"/>
      <c r="Q38" s="16">
        <f t="shared" si="5"/>
        <v>17.495578947368422</v>
      </c>
      <c r="R38" s="16">
        <f t="shared" si="0"/>
        <v>195.82105263157897</v>
      </c>
      <c r="S38" s="15"/>
      <c r="T38" s="19">
        <v>0.709507</v>
      </c>
      <c r="U38" s="15"/>
      <c r="V38" s="4">
        <v>27.7103</v>
      </c>
      <c r="W38" s="4">
        <v>13.5101</v>
      </c>
      <c r="X38" s="4">
        <v>0</v>
      </c>
      <c r="Y38" s="4">
        <v>23.828299999999999</v>
      </c>
      <c r="Z38" s="16">
        <v>15</v>
      </c>
      <c r="AA38" s="13"/>
      <c r="AB38" s="15"/>
      <c r="AC38" s="15"/>
      <c r="AD38" s="15"/>
      <c r="AE38" s="15"/>
      <c r="AF38" s="15"/>
      <c r="AG38" s="15"/>
      <c r="AH38" s="15"/>
      <c r="AI38" s="15"/>
    </row>
    <row r="39" spans="1:35">
      <c r="A39" s="12" t="s">
        <v>27</v>
      </c>
      <c r="B39" s="5" t="s">
        <v>45</v>
      </c>
      <c r="C39" s="12" t="s">
        <v>121</v>
      </c>
      <c r="E39" s="19">
        <v>0.70936399999999999</v>
      </c>
      <c r="G39" s="47">
        <v>5.5E-2</v>
      </c>
      <c r="H39" s="15">
        <v>92.450699999999998</v>
      </c>
      <c r="I39" s="15">
        <v>8.23</v>
      </c>
      <c r="J39" s="15">
        <v>27.904499999999999</v>
      </c>
      <c r="K39" s="15">
        <v>1.51075</v>
      </c>
      <c r="L39" s="16">
        <f t="shared" si="6"/>
        <v>89.02041845004959</v>
      </c>
      <c r="M39" s="16">
        <f t="shared" si="2"/>
        <v>0.59491166643411031</v>
      </c>
      <c r="N39" s="16">
        <f t="shared" si="3"/>
        <v>18.181818181818183</v>
      </c>
      <c r="O39" s="16">
        <f t="shared" si="4"/>
        <v>1680.921818181818</v>
      </c>
      <c r="P39" s="16"/>
      <c r="Q39" s="16">
        <f t="shared" si="5"/>
        <v>27.468181818181819</v>
      </c>
      <c r="R39" s="16">
        <f t="shared" si="0"/>
        <v>507.35454545454542</v>
      </c>
      <c r="S39" s="15"/>
      <c r="T39" s="19">
        <v>0.70936399999999999</v>
      </c>
      <c r="U39" s="15"/>
      <c r="V39" s="4">
        <v>49.633099999999999</v>
      </c>
      <c r="W39" s="4">
        <v>5.0362299999999998</v>
      </c>
      <c r="X39" s="4">
        <v>0</v>
      </c>
      <c r="Y39" s="4">
        <v>13.992900000000001</v>
      </c>
      <c r="Z39" s="16">
        <v>34.799999999999997</v>
      </c>
      <c r="AA39" s="13"/>
      <c r="AB39" s="15"/>
      <c r="AC39" s="15"/>
      <c r="AD39" s="15"/>
      <c r="AE39" s="15"/>
      <c r="AF39" s="15"/>
      <c r="AG39" s="15"/>
      <c r="AH39" s="15"/>
      <c r="AI39" s="15"/>
    </row>
    <row r="40" spans="1:35">
      <c r="A40" s="12" t="s">
        <v>28</v>
      </c>
      <c r="B40" s="5" t="s">
        <v>45</v>
      </c>
      <c r="C40" s="12" t="s">
        <v>97</v>
      </c>
      <c r="E40" s="19">
        <v>0.70985900000000002</v>
      </c>
      <c r="G40" s="47">
        <v>0.06</v>
      </c>
      <c r="H40" s="15">
        <v>61.232300000000002</v>
      </c>
      <c r="I40" s="15">
        <v>8.6300000000000008</v>
      </c>
      <c r="J40" s="15">
        <v>10.1333</v>
      </c>
      <c r="K40" s="15">
        <v>1.9835499999999999</v>
      </c>
      <c r="L40" s="16">
        <f t="shared" si="6"/>
        <v>140.93868758808668</v>
      </c>
      <c r="M40" s="16">
        <f t="shared" si="2"/>
        <v>0.97987500061242183</v>
      </c>
      <c r="N40" s="16">
        <f t="shared" si="3"/>
        <v>16.666666666666668</v>
      </c>
      <c r="O40" s="16">
        <f t="shared" si="4"/>
        <v>1020.5383333333334</v>
      </c>
      <c r="P40" s="16"/>
      <c r="Q40" s="16">
        <f t="shared" si="5"/>
        <v>33.05916666666667</v>
      </c>
      <c r="R40" s="16">
        <f t="shared" si="0"/>
        <v>168.88833333333335</v>
      </c>
      <c r="S40" s="15"/>
      <c r="T40" s="19">
        <v>0.70985900000000002</v>
      </c>
      <c r="U40" s="15"/>
      <c r="V40" s="4">
        <v>20.072199999999999</v>
      </c>
      <c r="W40" s="4">
        <v>18.888500000000001</v>
      </c>
      <c r="X40" s="4">
        <v>0</v>
      </c>
      <c r="Y40" s="4">
        <v>6.2269300000000003</v>
      </c>
      <c r="Z40" s="16">
        <f>SUM(60/58)</f>
        <v>1.0344827586206897</v>
      </c>
      <c r="AA40" s="13"/>
      <c r="AB40" s="15"/>
      <c r="AC40" s="15"/>
      <c r="AD40" s="15"/>
      <c r="AE40" s="15"/>
      <c r="AF40" s="15"/>
      <c r="AG40" s="15"/>
      <c r="AH40" s="15"/>
      <c r="AI40" s="15"/>
    </row>
    <row r="41" spans="1:35">
      <c r="A41" s="12" t="s">
        <v>29</v>
      </c>
      <c r="B41" s="5" t="s">
        <v>45</v>
      </c>
      <c r="C41" s="12" t="s">
        <v>99</v>
      </c>
      <c r="E41" s="19">
        <v>0.70943900000000004</v>
      </c>
      <c r="G41" s="47">
        <v>5.5E-2</v>
      </c>
      <c r="H41" s="15">
        <v>106.29</v>
      </c>
      <c r="I41" s="15">
        <v>3.97</v>
      </c>
      <c r="J41" s="15">
        <v>16.391200000000001</v>
      </c>
      <c r="K41" s="15">
        <v>1.69459</v>
      </c>
      <c r="L41" s="16">
        <f t="shared" si="6"/>
        <v>37.350644463260885</v>
      </c>
      <c r="M41" s="16">
        <f t="shared" si="2"/>
        <v>0.5174522532693574</v>
      </c>
      <c r="N41" s="16">
        <f t="shared" si="3"/>
        <v>18.181818181818183</v>
      </c>
      <c r="O41" s="16">
        <f t="shared" si="4"/>
        <v>1932.5454545454547</v>
      </c>
      <c r="P41" s="16"/>
      <c r="Q41" s="16">
        <f t="shared" si="5"/>
        <v>30.810727272727274</v>
      </c>
      <c r="R41" s="16">
        <f t="shared" si="0"/>
        <v>298.02181818181822</v>
      </c>
      <c r="S41" s="15"/>
      <c r="T41" s="19">
        <v>0.70943900000000004</v>
      </c>
      <c r="U41" s="15"/>
      <c r="V41" s="4">
        <v>37.334499999999998</v>
      </c>
      <c r="W41" s="4">
        <v>2.2815599999999998</v>
      </c>
      <c r="X41" s="4">
        <v>0</v>
      </c>
      <c r="Y41" s="4">
        <v>11.348800000000001</v>
      </c>
      <c r="Z41" s="16">
        <f>SUM(67+66+66+67+68)/5</f>
        <v>66.8</v>
      </c>
      <c r="AA41" s="13"/>
      <c r="AB41" s="15"/>
      <c r="AC41" s="15"/>
      <c r="AD41" s="15"/>
      <c r="AE41" s="15"/>
      <c r="AF41" s="15"/>
      <c r="AG41" s="15"/>
      <c r="AH41" s="15"/>
      <c r="AI41" s="15"/>
    </row>
    <row r="42" spans="1:35">
      <c r="A42" s="12" t="s">
        <v>30</v>
      </c>
      <c r="B42" s="5" t="s">
        <v>45</v>
      </c>
      <c r="C42" s="12" t="s">
        <v>111</v>
      </c>
      <c r="E42" s="19">
        <v>0.70963600000000004</v>
      </c>
      <c r="G42" s="47">
        <v>5.5E-2</v>
      </c>
      <c r="H42" s="15">
        <v>121.48</v>
      </c>
      <c r="I42" s="15">
        <v>8.76</v>
      </c>
      <c r="J42" s="15">
        <v>22.625800000000002</v>
      </c>
      <c r="K42" s="15">
        <v>1.2256800000000001</v>
      </c>
      <c r="L42" s="16">
        <f t="shared" si="6"/>
        <v>72.110635495554817</v>
      </c>
      <c r="M42" s="16">
        <f t="shared" si="2"/>
        <v>0.45274942377346061</v>
      </c>
      <c r="N42" s="16">
        <f t="shared" si="3"/>
        <v>18.181818181818183</v>
      </c>
      <c r="O42" s="16">
        <f t="shared" si="4"/>
        <v>2208.727272727273</v>
      </c>
      <c r="P42" s="16"/>
      <c r="Q42" s="16">
        <f t="shared" si="5"/>
        <v>22.285090909090911</v>
      </c>
      <c r="R42" s="16">
        <f t="shared" si="0"/>
        <v>411.37818181818187</v>
      </c>
      <c r="S42" s="15"/>
      <c r="T42" s="19">
        <v>0.70963600000000004</v>
      </c>
      <c r="U42" s="15"/>
      <c r="V42" s="4">
        <v>40.602800000000002</v>
      </c>
      <c r="W42" s="4">
        <v>2.3272699999999999</v>
      </c>
      <c r="X42" s="4">
        <v>0</v>
      </c>
      <c r="Y42" s="4">
        <v>10.5549</v>
      </c>
      <c r="Z42" s="16">
        <f>44.6/0.2778</f>
        <v>160.5471562275018</v>
      </c>
      <c r="AA42" s="13"/>
      <c r="AB42" s="15"/>
      <c r="AC42" s="15"/>
      <c r="AD42" s="15"/>
      <c r="AE42" s="15"/>
      <c r="AF42" s="15"/>
      <c r="AG42" s="15"/>
      <c r="AH42" s="15"/>
      <c r="AI42" s="15"/>
    </row>
    <row r="43" spans="1:35">
      <c r="A43" s="12" t="s">
        <v>31</v>
      </c>
      <c r="B43" s="5" t="s">
        <v>45</v>
      </c>
      <c r="C43" s="12" t="s">
        <v>97</v>
      </c>
      <c r="E43" s="19">
        <v>0.71030700000000002</v>
      </c>
      <c r="G43" s="47">
        <v>0.14000000000000001</v>
      </c>
      <c r="H43" s="15">
        <v>89.992000000000004</v>
      </c>
      <c r="I43" s="15">
        <v>5.33</v>
      </c>
      <c r="J43" s="15">
        <v>17.620799999999999</v>
      </c>
      <c r="K43" s="15">
        <v>1.72153</v>
      </c>
      <c r="L43" s="16">
        <f>SUM(1000*I43/H43)</f>
        <v>59.227486887723352</v>
      </c>
      <c r="M43" s="16">
        <f t="shared" si="2"/>
        <v>1.5556938394523956</v>
      </c>
      <c r="N43" s="16">
        <f t="shared" si="3"/>
        <v>7.1428571428571423</v>
      </c>
      <c r="O43" s="16">
        <f t="shared" si="4"/>
        <v>642.79999999999995</v>
      </c>
      <c r="P43" s="16"/>
      <c r="Q43" s="16">
        <f t="shared" si="5"/>
        <v>12.296642857142857</v>
      </c>
      <c r="R43" s="16">
        <f t="shared" si="0"/>
        <v>125.86285714285712</v>
      </c>
      <c r="S43" s="15"/>
      <c r="T43" s="19">
        <v>0.71030700000000002</v>
      </c>
      <c r="U43" s="15"/>
      <c r="V43" s="4">
        <v>26.847000000000001</v>
      </c>
      <c r="W43" s="4">
        <v>4.4729400000000004</v>
      </c>
      <c r="X43" s="4">
        <v>0</v>
      </c>
      <c r="Y43" s="4">
        <v>7.7487500000000002</v>
      </c>
      <c r="Z43" s="16">
        <f>SUM(21+19+23+21+22)/5</f>
        <v>21.2</v>
      </c>
      <c r="AA43" s="13"/>
      <c r="AB43" s="15"/>
      <c r="AC43" s="15"/>
      <c r="AD43" s="15"/>
      <c r="AE43" s="15"/>
      <c r="AF43" s="15"/>
      <c r="AG43" s="15"/>
      <c r="AH43" s="15"/>
      <c r="AI43" s="15"/>
    </row>
    <row r="44" spans="1:35">
      <c r="A44" s="41" t="s">
        <v>140</v>
      </c>
      <c r="B44" s="5"/>
      <c r="E44" s="19"/>
      <c r="G44" s="25"/>
      <c r="H44" s="56"/>
      <c r="I44" s="56"/>
      <c r="J44" s="56"/>
      <c r="K44" s="56"/>
      <c r="L44" s="62">
        <f>MEDIAN(L18:L43)</f>
        <v>76.305257395802158</v>
      </c>
      <c r="M44" s="62">
        <f>MEDIAN(M18:M43)</f>
        <v>0.93883314304923782</v>
      </c>
      <c r="N44" s="16"/>
      <c r="O44" s="16"/>
      <c r="P44" s="16"/>
      <c r="Q44" s="16"/>
      <c r="R44" s="16"/>
      <c r="S44" s="15"/>
      <c r="T44" s="45">
        <f>MEDIAN(T18:T43)</f>
        <v>0.709534</v>
      </c>
      <c r="U44" s="15"/>
    </row>
    <row r="45" spans="1:35">
      <c r="A45" s="11" t="s">
        <v>79</v>
      </c>
      <c r="B45" s="5"/>
      <c r="E45" s="19"/>
      <c r="G45" s="25"/>
      <c r="H45" s="56"/>
      <c r="I45" s="56"/>
      <c r="J45" s="56"/>
      <c r="K45" s="56"/>
      <c r="L45" s="16"/>
      <c r="M45" s="16"/>
      <c r="N45" s="16"/>
      <c r="O45" s="16"/>
      <c r="Q45" s="16"/>
      <c r="R45" s="16"/>
      <c r="S45" s="15"/>
      <c r="T45" s="19"/>
      <c r="U45" s="15"/>
    </row>
    <row r="46" spans="1:35">
      <c r="A46" s="12" t="s">
        <v>0</v>
      </c>
      <c r="B46" s="5"/>
      <c r="C46" s="12" t="s">
        <v>93</v>
      </c>
      <c r="E46" s="19">
        <v>0.70861600000000002</v>
      </c>
      <c r="F46" s="12">
        <v>15</v>
      </c>
      <c r="G46" s="52" t="s">
        <v>141</v>
      </c>
      <c r="H46" s="26" t="s">
        <v>118</v>
      </c>
      <c r="I46" s="27" t="s">
        <v>119</v>
      </c>
      <c r="J46" s="27" t="s">
        <v>120</v>
      </c>
      <c r="K46" s="27" t="s">
        <v>62</v>
      </c>
      <c r="L46" s="16" t="e">
        <f>SUM(1000*I46/H46)</f>
        <v>#VALUE!</v>
      </c>
      <c r="M46" s="16"/>
      <c r="N46" s="16"/>
      <c r="O46" s="16"/>
      <c r="P46" s="16"/>
      <c r="Q46" s="16"/>
      <c r="R46" s="16"/>
      <c r="S46" s="15"/>
      <c r="T46" s="19">
        <v>0.70861600000000002</v>
      </c>
      <c r="U46" s="15"/>
      <c r="AC46" s="5"/>
      <c r="AD46" s="18"/>
      <c r="AE46" s="6"/>
    </row>
    <row r="47" spans="1:35">
      <c r="A47" s="12" t="s">
        <v>1</v>
      </c>
      <c r="B47" s="5"/>
      <c r="C47" s="12" t="s">
        <v>108</v>
      </c>
      <c r="E47" s="19">
        <v>0.711032</v>
      </c>
      <c r="F47" s="12">
        <v>11</v>
      </c>
      <c r="G47" s="8">
        <v>0.01</v>
      </c>
      <c r="H47" s="7">
        <v>1.2</v>
      </c>
      <c r="I47" s="15">
        <v>0.13</v>
      </c>
      <c r="J47" s="15">
        <v>0.82</v>
      </c>
      <c r="K47" s="7">
        <v>0.88</v>
      </c>
      <c r="L47" s="16">
        <f>SUM(1000*I47/H47)</f>
        <v>108.33333333333334</v>
      </c>
      <c r="M47" s="16">
        <f t="shared" si="2"/>
        <v>8.3333333333333339</v>
      </c>
      <c r="N47" s="16">
        <f t="shared" ref="N47:N55" si="7">SUM(1/G47)</f>
        <v>100</v>
      </c>
      <c r="O47" s="16">
        <f t="shared" ref="O47:O55" si="8">SUM(H47/G47)</f>
        <v>120</v>
      </c>
      <c r="P47" s="16"/>
      <c r="Q47" s="16">
        <f t="shared" ref="Q47:Q54" si="9">SUM(K47/G47)</f>
        <v>88</v>
      </c>
      <c r="R47" s="16">
        <f t="shared" si="0"/>
        <v>82</v>
      </c>
      <c r="S47" s="15"/>
      <c r="T47" s="19">
        <v>0.711032</v>
      </c>
      <c r="U47" s="15"/>
      <c r="V47" s="14" t="s">
        <v>137</v>
      </c>
      <c r="W47" s="14" t="s">
        <v>137</v>
      </c>
      <c r="X47" s="14" t="s">
        <v>137</v>
      </c>
      <c r="Y47" s="14" t="s">
        <v>137</v>
      </c>
      <c r="Z47" s="5" t="s">
        <v>39</v>
      </c>
      <c r="AC47" s="8"/>
      <c r="AD47" s="18"/>
      <c r="AE47" s="7"/>
      <c r="AG47" s="7"/>
    </row>
    <row r="48" spans="1:35">
      <c r="A48" s="12" t="s">
        <v>2</v>
      </c>
      <c r="B48" s="5"/>
      <c r="C48" s="12" t="s">
        <v>109</v>
      </c>
      <c r="E48" s="19">
        <v>0.71013400000000004</v>
      </c>
      <c r="F48" s="12">
        <v>7</v>
      </c>
      <c r="G48" s="8">
        <v>8.0000000000000002E-3</v>
      </c>
      <c r="H48" s="7">
        <v>1.22</v>
      </c>
      <c r="I48" s="15">
        <v>0.09</v>
      </c>
      <c r="J48" s="15">
        <v>0.79</v>
      </c>
      <c r="K48" s="7">
        <v>0.63</v>
      </c>
      <c r="L48" s="16">
        <f>SUM(1000*I48/H48)</f>
        <v>73.770491803278688</v>
      </c>
      <c r="M48" s="16">
        <f t="shared" si="2"/>
        <v>6.557377049180328</v>
      </c>
      <c r="N48" s="16">
        <f t="shared" si="7"/>
        <v>125</v>
      </c>
      <c r="O48" s="16">
        <f t="shared" si="8"/>
        <v>152.5</v>
      </c>
      <c r="P48" s="16"/>
      <c r="Q48" s="16">
        <f t="shared" si="9"/>
        <v>78.75</v>
      </c>
      <c r="R48" s="16">
        <f t="shared" si="0"/>
        <v>98.75</v>
      </c>
      <c r="S48" s="15"/>
      <c r="T48" s="19">
        <v>0.71013400000000004</v>
      </c>
      <c r="U48" s="15"/>
      <c r="V48" s="14" t="s">
        <v>137</v>
      </c>
      <c r="W48" s="14" t="s">
        <v>137</v>
      </c>
      <c r="X48" s="14" t="s">
        <v>137</v>
      </c>
      <c r="Y48" s="14" t="s">
        <v>137</v>
      </c>
      <c r="Z48" s="5" t="s">
        <v>39</v>
      </c>
      <c r="AC48" s="8"/>
      <c r="AD48" s="18"/>
      <c r="AE48" s="7"/>
      <c r="AG48" s="7"/>
    </row>
    <row r="49" spans="1:33">
      <c r="A49" s="12" t="s">
        <v>3</v>
      </c>
      <c r="B49" s="5"/>
      <c r="C49" s="12" t="s">
        <v>110</v>
      </c>
      <c r="E49" s="19">
        <v>0.71250899999999995</v>
      </c>
      <c r="F49" s="12">
        <v>5</v>
      </c>
      <c r="G49" s="8">
        <v>2.5000000000000001E-2</v>
      </c>
      <c r="H49" s="7">
        <v>2.67</v>
      </c>
      <c r="I49" s="15">
        <v>0.36</v>
      </c>
      <c r="J49" s="15">
        <v>0.88</v>
      </c>
      <c r="K49" s="7">
        <v>0.5</v>
      </c>
      <c r="L49" s="16">
        <f>SUM(1000*I49/H49)</f>
        <v>134.83146067415731</v>
      </c>
      <c r="M49" s="16">
        <f t="shared" si="2"/>
        <v>9.3632958801498134</v>
      </c>
      <c r="N49" s="16">
        <f t="shared" si="7"/>
        <v>40</v>
      </c>
      <c r="O49" s="16">
        <f t="shared" si="8"/>
        <v>106.8</v>
      </c>
      <c r="P49" s="16"/>
      <c r="Q49" s="16">
        <f t="shared" si="9"/>
        <v>20</v>
      </c>
      <c r="R49" s="16">
        <f t="shared" si="0"/>
        <v>35.199999999999996</v>
      </c>
      <c r="S49" s="15"/>
      <c r="T49" s="19">
        <v>0.71250899999999995</v>
      </c>
      <c r="U49" s="15"/>
      <c r="V49" s="14" t="s">
        <v>137</v>
      </c>
      <c r="W49" s="14" t="s">
        <v>137</v>
      </c>
      <c r="X49" s="14" t="s">
        <v>137</v>
      </c>
      <c r="Y49" s="14" t="s">
        <v>137</v>
      </c>
      <c r="Z49" s="5" t="s">
        <v>39</v>
      </c>
      <c r="AC49" s="8"/>
      <c r="AD49" s="18"/>
      <c r="AE49" s="7"/>
      <c r="AG49" s="7"/>
    </row>
    <row r="50" spans="1:33">
      <c r="A50" s="12" t="s">
        <v>40</v>
      </c>
      <c r="B50" s="5"/>
      <c r="C50" s="12" t="s">
        <v>107</v>
      </c>
      <c r="E50" s="19">
        <v>0.70810200000000001</v>
      </c>
      <c r="F50" s="12">
        <v>3</v>
      </c>
      <c r="G50" s="8">
        <v>2.7E-2</v>
      </c>
      <c r="H50" s="15">
        <v>24.5</v>
      </c>
      <c r="I50" s="15">
        <v>0.23</v>
      </c>
      <c r="J50" s="15">
        <v>0.43</v>
      </c>
      <c r="K50" s="7">
        <v>0.25</v>
      </c>
      <c r="L50" s="16">
        <f>SUM(1000*I50/H50)</f>
        <v>9.387755102040817</v>
      </c>
      <c r="M50" s="16">
        <f t="shared" si="2"/>
        <v>1.1020408163265305</v>
      </c>
      <c r="N50" s="16">
        <f t="shared" si="7"/>
        <v>37.037037037037038</v>
      </c>
      <c r="O50" s="16">
        <f t="shared" si="8"/>
        <v>907.40740740740739</v>
      </c>
      <c r="P50" s="16"/>
      <c r="Q50" s="16">
        <f t="shared" si="9"/>
        <v>9.2592592592592595</v>
      </c>
      <c r="R50" s="16">
        <f t="shared" si="0"/>
        <v>15.925925925925926</v>
      </c>
      <c r="S50" s="15"/>
      <c r="T50" s="19">
        <v>0.70810200000000001</v>
      </c>
      <c r="U50" s="15"/>
      <c r="V50" s="14" t="s">
        <v>137</v>
      </c>
      <c r="W50" s="14" t="s">
        <v>137</v>
      </c>
      <c r="X50" s="14" t="s">
        <v>137</v>
      </c>
      <c r="Y50" s="14" t="s">
        <v>137</v>
      </c>
      <c r="Z50" s="5" t="s">
        <v>39</v>
      </c>
      <c r="AC50" s="8"/>
      <c r="AD50" s="18"/>
      <c r="AE50" s="7"/>
    </row>
    <row r="51" spans="1:33">
      <c r="B51" s="5"/>
      <c r="E51" s="19"/>
      <c r="G51" s="47"/>
      <c r="H51" s="15"/>
      <c r="I51" s="15"/>
      <c r="J51" s="15"/>
      <c r="K51" s="15"/>
      <c r="L51" s="16"/>
      <c r="M51" s="16"/>
      <c r="N51" s="16"/>
      <c r="O51" s="16"/>
      <c r="P51" s="16"/>
      <c r="Q51" s="16"/>
      <c r="R51" s="16"/>
      <c r="S51" s="15"/>
      <c r="T51" s="19"/>
      <c r="U51" s="15"/>
      <c r="V51" s="14"/>
      <c r="W51" s="14"/>
      <c r="X51" s="14"/>
      <c r="Y51" s="14"/>
      <c r="Z51" s="5"/>
    </row>
    <row r="52" spans="1:33">
      <c r="A52" s="12" t="s">
        <v>6</v>
      </c>
      <c r="B52" s="5" t="s">
        <v>117</v>
      </c>
      <c r="C52" s="12" t="s">
        <v>104</v>
      </c>
      <c r="E52" s="19">
        <v>0.70895200000000003</v>
      </c>
      <c r="F52" s="12">
        <v>7</v>
      </c>
      <c r="G52" s="8">
        <v>0.26300000000000001</v>
      </c>
      <c r="H52" s="15">
        <v>19.8</v>
      </c>
      <c r="I52" s="15">
        <v>0.47899999999999998</v>
      </c>
      <c r="J52" s="15">
        <v>0.23699999999999999</v>
      </c>
      <c r="K52" s="15">
        <v>0.76</v>
      </c>
      <c r="L52" s="16">
        <f>SUM(1000*I52/H52)</f>
        <v>24.19191919191919</v>
      </c>
      <c r="M52" s="16">
        <f t="shared" si="2"/>
        <v>13.282828282828282</v>
      </c>
      <c r="N52" s="16">
        <f t="shared" si="7"/>
        <v>3.8022813688212924</v>
      </c>
      <c r="O52" s="16">
        <f t="shared" si="8"/>
        <v>75.285171102661593</v>
      </c>
      <c r="P52" s="16"/>
      <c r="Q52" s="16">
        <f t="shared" si="9"/>
        <v>2.8897338403041823</v>
      </c>
      <c r="R52" s="16">
        <f t="shared" si="0"/>
        <v>0.90114068441064632</v>
      </c>
      <c r="S52" s="15"/>
      <c r="T52" s="19">
        <v>0.70895200000000003</v>
      </c>
      <c r="U52" s="15"/>
      <c r="V52" s="14" t="s">
        <v>137</v>
      </c>
      <c r="W52" s="14" t="s">
        <v>137</v>
      </c>
      <c r="X52" s="14" t="s">
        <v>137</v>
      </c>
      <c r="Y52" s="14" t="s">
        <v>137</v>
      </c>
      <c r="Z52" s="5" t="s">
        <v>41</v>
      </c>
      <c r="AC52" s="9"/>
      <c r="AG52" s="9"/>
    </row>
    <row r="53" spans="1:33">
      <c r="A53" s="12" t="s">
        <v>7</v>
      </c>
      <c r="B53" s="5" t="s">
        <v>117</v>
      </c>
      <c r="C53" s="12" t="s">
        <v>105</v>
      </c>
      <c r="E53" s="19">
        <v>0.70879000000000003</v>
      </c>
      <c r="F53" s="12">
        <v>3</v>
      </c>
      <c r="G53" s="8">
        <v>0.109</v>
      </c>
      <c r="H53" s="15">
        <v>124</v>
      </c>
      <c r="I53" s="15">
        <v>0.88</v>
      </c>
      <c r="J53" s="15">
        <v>0.221</v>
      </c>
      <c r="K53" s="15">
        <v>0.39</v>
      </c>
      <c r="L53" s="16">
        <f>SUM(1000*I53/H53)</f>
        <v>7.096774193548387</v>
      </c>
      <c r="M53" s="16">
        <f t="shared" si="2"/>
        <v>0.87903225806451613</v>
      </c>
      <c r="N53" s="16">
        <f t="shared" si="7"/>
        <v>9.1743119266055047</v>
      </c>
      <c r="O53" s="16">
        <f t="shared" si="8"/>
        <v>1137.6146788990825</v>
      </c>
      <c r="P53" s="16"/>
      <c r="Q53" s="16">
        <f t="shared" si="9"/>
        <v>3.5779816513761471</v>
      </c>
      <c r="R53" s="16">
        <f t="shared" si="0"/>
        <v>2.0275229357798166</v>
      </c>
      <c r="S53" s="15"/>
      <c r="T53" s="19">
        <v>0.70879000000000003</v>
      </c>
      <c r="U53" s="15"/>
      <c r="V53" s="14" t="s">
        <v>137</v>
      </c>
      <c r="W53" s="14" t="s">
        <v>137</v>
      </c>
      <c r="X53" s="14" t="s">
        <v>137</v>
      </c>
      <c r="Y53" s="14" t="s">
        <v>137</v>
      </c>
      <c r="Z53" s="5" t="s">
        <v>41</v>
      </c>
      <c r="AC53" s="9"/>
      <c r="AG53" s="9"/>
    </row>
    <row r="54" spans="1:33">
      <c r="A54" s="12" t="s">
        <v>8</v>
      </c>
      <c r="B54" s="5" t="s">
        <v>117</v>
      </c>
      <c r="C54" s="12" t="s">
        <v>105</v>
      </c>
      <c r="E54" s="19">
        <v>0.70894599999999997</v>
      </c>
      <c r="F54" s="12">
        <v>4</v>
      </c>
      <c r="G54" s="8">
        <v>0.20799999999999999</v>
      </c>
      <c r="H54" s="15">
        <v>173</v>
      </c>
      <c r="I54" s="15">
        <v>105</v>
      </c>
      <c r="J54" s="15">
        <v>0.39400000000000002</v>
      </c>
      <c r="K54" s="15">
        <v>0.48</v>
      </c>
      <c r="L54" s="16">
        <f>SUM(1000*I54/H54)</f>
        <v>606.93641618497111</v>
      </c>
      <c r="M54" s="16">
        <f t="shared" si="2"/>
        <v>1.2023121387283238</v>
      </c>
      <c r="N54" s="16">
        <f t="shared" si="7"/>
        <v>4.8076923076923075</v>
      </c>
      <c r="O54" s="16">
        <f t="shared" si="8"/>
        <v>831.73076923076928</v>
      </c>
      <c r="P54" s="16"/>
      <c r="Q54" s="16">
        <f t="shared" si="9"/>
        <v>2.3076923076923079</v>
      </c>
      <c r="R54" s="16">
        <f t="shared" si="0"/>
        <v>1.8942307692307694</v>
      </c>
      <c r="S54" s="15"/>
      <c r="T54" s="19">
        <v>0.70894599999999997</v>
      </c>
      <c r="U54" s="15"/>
      <c r="V54" s="14" t="s">
        <v>137</v>
      </c>
      <c r="W54" s="14" t="s">
        <v>137</v>
      </c>
      <c r="X54" s="14" t="s">
        <v>137</v>
      </c>
      <c r="Y54" s="14" t="s">
        <v>137</v>
      </c>
      <c r="Z54" s="5" t="s">
        <v>41</v>
      </c>
      <c r="AC54" s="9"/>
      <c r="AG54" s="9"/>
    </row>
    <row r="55" spans="1:33">
      <c r="A55" s="12" t="s">
        <v>4</v>
      </c>
      <c r="B55" s="5"/>
      <c r="C55" s="12" t="s">
        <v>106</v>
      </c>
      <c r="E55" s="19">
        <v>0.70797699999999997</v>
      </c>
      <c r="F55" s="12">
        <v>4</v>
      </c>
      <c r="G55" s="47">
        <v>9.1999999999999998E-2</v>
      </c>
      <c r="H55" s="15">
        <v>121</v>
      </c>
      <c r="I55" s="15">
        <v>0.76900000000000002</v>
      </c>
      <c r="J55" s="15">
        <v>1.0999999999999999E-2</v>
      </c>
      <c r="K55" s="5" t="s">
        <v>95</v>
      </c>
      <c r="L55" s="16">
        <f>SUM(1000*I55/H55)</f>
        <v>6.3553719008264462</v>
      </c>
      <c r="M55" s="16">
        <f t="shared" si="2"/>
        <v>0.76033057851239672</v>
      </c>
      <c r="N55" s="16">
        <f t="shared" si="7"/>
        <v>10.869565217391305</v>
      </c>
      <c r="O55" s="16">
        <f t="shared" si="8"/>
        <v>1315.2173913043478</v>
      </c>
      <c r="P55" s="16"/>
      <c r="Q55" s="59" t="s">
        <v>136</v>
      </c>
      <c r="R55" s="16">
        <f t="shared" si="0"/>
        <v>0.11956521739130434</v>
      </c>
      <c r="S55" s="15"/>
      <c r="T55" s="19">
        <v>0.70797699999999997</v>
      </c>
      <c r="U55" s="15"/>
      <c r="V55" s="14" t="s">
        <v>137</v>
      </c>
      <c r="W55" s="14" t="s">
        <v>137</v>
      </c>
      <c r="X55" s="14" t="s">
        <v>137</v>
      </c>
      <c r="Y55" s="14" t="s">
        <v>137</v>
      </c>
      <c r="Z55" s="5" t="s">
        <v>41</v>
      </c>
    </row>
    <row r="56" spans="1:33">
      <c r="A56" s="12" t="s">
        <v>5</v>
      </c>
      <c r="B56" s="5"/>
      <c r="C56" s="12" t="s">
        <v>107</v>
      </c>
      <c r="E56" s="19">
        <v>0.70798300000000003</v>
      </c>
      <c r="F56" s="12">
        <v>3</v>
      </c>
      <c r="G56" s="47">
        <v>0.151</v>
      </c>
      <c r="H56" s="15">
        <v>189</v>
      </c>
      <c r="I56" s="15">
        <v>1.05</v>
      </c>
      <c r="J56" s="15">
        <v>0.20599999999999999</v>
      </c>
      <c r="K56" s="12">
        <v>0.25</v>
      </c>
      <c r="L56" s="16">
        <f>SUM(1000*I56/H56)</f>
        <v>5.5555555555555554</v>
      </c>
      <c r="M56" s="16">
        <f t="shared" si="2"/>
        <v>0.79894179894179895</v>
      </c>
      <c r="N56" s="16">
        <f>SUM(1/G56)</f>
        <v>6.6225165562913908</v>
      </c>
      <c r="O56" s="16">
        <f>SUM(H56/G56)</f>
        <v>1251.655629139073</v>
      </c>
      <c r="P56" s="16"/>
      <c r="Q56" s="16">
        <f>SUM(K56/G56)</f>
        <v>1.6556291390728477</v>
      </c>
      <c r="R56" s="16">
        <f t="shared" si="0"/>
        <v>1.3642384105960264</v>
      </c>
      <c r="S56" s="15"/>
      <c r="T56" s="19">
        <v>0.70798300000000003</v>
      </c>
      <c r="U56" s="15"/>
      <c r="V56" s="14" t="s">
        <v>137</v>
      </c>
      <c r="W56" s="14" t="s">
        <v>137</v>
      </c>
      <c r="X56" s="14" t="s">
        <v>137</v>
      </c>
      <c r="Y56" s="14" t="s">
        <v>137</v>
      </c>
      <c r="Z56" s="5" t="s">
        <v>41</v>
      </c>
    </row>
    <row r="57" spans="1:33">
      <c r="B57" s="5"/>
      <c r="E57" s="19"/>
      <c r="G57" s="47"/>
      <c r="L57" s="16"/>
      <c r="M57" s="16"/>
      <c r="N57" s="16"/>
      <c r="O57" s="16"/>
      <c r="P57" s="16"/>
      <c r="Q57" s="16"/>
      <c r="R57" s="16"/>
      <c r="S57" s="15"/>
      <c r="T57" s="19"/>
      <c r="U57" s="15"/>
      <c r="V57" s="14"/>
      <c r="W57" s="14"/>
      <c r="X57" s="14"/>
      <c r="Y57" s="14"/>
    </row>
    <row r="58" spans="1:33">
      <c r="A58" s="12" t="s">
        <v>9</v>
      </c>
      <c r="B58" s="5"/>
      <c r="C58" s="12" t="s">
        <v>94</v>
      </c>
      <c r="E58" s="19">
        <v>0.71024200000000004</v>
      </c>
      <c r="F58" s="12">
        <v>4</v>
      </c>
      <c r="G58" s="47"/>
      <c r="L58" s="16"/>
      <c r="M58" s="16"/>
      <c r="N58" s="16"/>
      <c r="O58" s="16"/>
      <c r="P58" s="16"/>
      <c r="Q58" s="16"/>
      <c r="R58" s="16"/>
      <c r="S58" s="15"/>
      <c r="T58" s="19">
        <v>0.71024200000000004</v>
      </c>
      <c r="U58" s="15"/>
      <c r="V58" s="14"/>
      <c r="W58" s="14"/>
      <c r="X58" s="14"/>
      <c r="Y58" s="14"/>
    </row>
    <row r="59" spans="1:33">
      <c r="A59" s="12" t="s">
        <v>9</v>
      </c>
      <c r="B59" s="5"/>
      <c r="C59" s="12" t="s">
        <v>94</v>
      </c>
      <c r="E59" s="19">
        <v>0.71024799999999999</v>
      </c>
      <c r="F59" s="12">
        <v>4</v>
      </c>
      <c r="G59" s="47"/>
      <c r="L59" s="16"/>
      <c r="M59" s="16"/>
      <c r="N59" s="16"/>
      <c r="O59" s="16"/>
      <c r="P59" s="16"/>
      <c r="Q59" s="16"/>
      <c r="R59" s="16"/>
      <c r="S59" s="15"/>
      <c r="T59" s="19">
        <v>0.71024799999999999</v>
      </c>
      <c r="U59" s="15"/>
      <c r="V59" s="14"/>
      <c r="W59" s="14"/>
      <c r="X59" s="14"/>
      <c r="Y59" s="14"/>
    </row>
    <row r="60" spans="1:33">
      <c r="A60" s="12" t="s">
        <v>9</v>
      </c>
      <c r="B60" s="5"/>
      <c r="C60" s="12" t="s">
        <v>94</v>
      </c>
      <c r="E60" s="19">
        <v>0.71024500000000002</v>
      </c>
      <c r="F60" s="12">
        <v>4</v>
      </c>
      <c r="G60" s="47"/>
      <c r="L60" s="16"/>
      <c r="M60" s="16"/>
      <c r="N60" s="16"/>
      <c r="O60" s="16"/>
      <c r="P60" s="16"/>
      <c r="Q60" s="16"/>
      <c r="R60" s="16"/>
      <c r="S60" s="15"/>
      <c r="T60" s="19">
        <v>0.71024500000000002</v>
      </c>
      <c r="U60" s="15"/>
      <c r="V60" s="14"/>
      <c r="W60" s="14"/>
      <c r="X60" s="14"/>
      <c r="Y60" s="14"/>
    </row>
    <row r="61" spans="1:33">
      <c r="E61" s="19"/>
      <c r="G61" s="47"/>
      <c r="L61" s="16"/>
      <c r="M61" s="16"/>
      <c r="N61" s="16"/>
      <c r="O61" s="16"/>
      <c r="P61" s="16"/>
      <c r="Q61" s="16"/>
      <c r="R61" s="16"/>
      <c r="S61" s="15"/>
      <c r="T61" s="19"/>
      <c r="U61" s="15"/>
      <c r="V61" s="14"/>
      <c r="W61" s="14"/>
      <c r="X61" s="14"/>
      <c r="Y61" s="14"/>
    </row>
    <row r="62" spans="1:33">
      <c r="A62" s="11" t="s">
        <v>92</v>
      </c>
      <c r="B62" s="23"/>
      <c r="C62" s="13"/>
      <c r="D62" s="13"/>
      <c r="E62" s="42"/>
      <c r="F62" s="13"/>
      <c r="G62" s="48"/>
      <c r="L62" s="16"/>
      <c r="M62" s="16"/>
      <c r="N62" s="16"/>
      <c r="O62" s="16"/>
      <c r="P62" s="16"/>
      <c r="Q62" s="16"/>
      <c r="R62" s="16"/>
      <c r="S62" s="15"/>
      <c r="T62" s="42"/>
      <c r="U62" s="15"/>
      <c r="V62" s="14"/>
      <c r="W62" s="14"/>
      <c r="X62" s="14"/>
      <c r="Y62" s="14"/>
      <c r="AB62" s="13"/>
    </row>
    <row r="63" spans="1:33" ht="15.75">
      <c r="A63" s="12" t="s">
        <v>50</v>
      </c>
      <c r="B63" s="5" t="s">
        <v>113</v>
      </c>
      <c r="C63" s="12" t="s">
        <v>112</v>
      </c>
      <c r="E63" s="19">
        <v>0.70961200000000002</v>
      </c>
      <c r="G63" s="47"/>
      <c r="L63" s="16"/>
      <c r="M63" s="16"/>
      <c r="N63" s="16"/>
      <c r="O63" s="16"/>
      <c r="P63" s="16"/>
      <c r="Q63" s="16"/>
      <c r="R63" s="16"/>
      <c r="S63" s="15"/>
      <c r="T63" s="19">
        <v>0.70961200000000002</v>
      </c>
      <c r="U63" s="15"/>
      <c r="V63" s="14"/>
      <c r="W63" s="14"/>
      <c r="X63" s="14"/>
      <c r="Y63" s="14"/>
    </row>
    <row r="64" spans="1:33">
      <c r="B64" s="5"/>
      <c r="E64" s="19"/>
      <c r="G64" s="47"/>
      <c r="L64" s="16"/>
      <c r="M64" s="16"/>
      <c r="N64" s="16"/>
      <c r="O64" s="16"/>
      <c r="P64" s="16"/>
      <c r="Q64" s="16"/>
      <c r="R64" s="16"/>
      <c r="S64" s="15"/>
      <c r="T64" s="19"/>
      <c r="U64" s="15"/>
      <c r="V64" s="14"/>
      <c r="W64" s="14"/>
      <c r="X64" s="14"/>
      <c r="Y64" s="14"/>
    </row>
    <row r="65" spans="1:37">
      <c r="A65" s="11" t="s">
        <v>60</v>
      </c>
      <c r="B65" s="5"/>
      <c r="E65" s="19"/>
      <c r="G65" s="47"/>
      <c r="K65" s="17" t="s">
        <v>143</v>
      </c>
      <c r="L65" s="16"/>
      <c r="M65" s="16"/>
      <c r="N65" s="16"/>
      <c r="O65" s="16"/>
      <c r="P65" s="16"/>
      <c r="Q65" s="16"/>
      <c r="R65" s="16"/>
      <c r="S65" s="15"/>
      <c r="T65" s="19"/>
      <c r="U65" s="15"/>
      <c r="V65" s="14"/>
      <c r="W65" s="14"/>
      <c r="X65" s="14"/>
      <c r="Y65" s="14"/>
    </row>
    <row r="66" spans="1:37">
      <c r="A66" s="12" t="s">
        <v>56</v>
      </c>
      <c r="B66" s="5" t="s">
        <v>114</v>
      </c>
      <c r="C66" s="12" t="s">
        <v>77</v>
      </c>
      <c r="E66" s="19">
        <v>0.70797500000000002</v>
      </c>
      <c r="G66" s="47">
        <v>0.16900000000000001</v>
      </c>
      <c r="H66" s="15">
        <v>174</v>
      </c>
      <c r="I66" s="15">
        <v>4.5999999999999996</v>
      </c>
      <c r="J66" s="14" t="s">
        <v>138</v>
      </c>
      <c r="K66" s="14" t="s">
        <v>139</v>
      </c>
      <c r="L66" s="16">
        <f>SUM(1000*I66/H66)</f>
        <v>26.436781609195403</v>
      </c>
      <c r="M66" s="16">
        <f>1000*G66/H66</f>
        <v>0.97126436781609193</v>
      </c>
      <c r="N66" s="16">
        <f>SUM(1/G66)</f>
        <v>5.9171597633136095</v>
      </c>
      <c r="O66" s="16">
        <f>SUM(H66/G66)</f>
        <v>1029.5857988165681</v>
      </c>
      <c r="P66" s="16"/>
      <c r="Q66" s="59">
        <f>(0.1/G66)</f>
        <v>0.59171597633136097</v>
      </c>
      <c r="R66" s="59">
        <f>0.05/G66</f>
        <v>0.29585798816568049</v>
      </c>
      <c r="S66" s="40"/>
      <c r="T66" s="19">
        <v>0.70797500000000002</v>
      </c>
      <c r="U66" s="40"/>
      <c r="V66" s="14" t="s">
        <v>137</v>
      </c>
      <c r="W66" s="14" t="s">
        <v>137</v>
      </c>
      <c r="X66" s="14" t="s">
        <v>137</v>
      </c>
      <c r="Y66" s="14" t="s">
        <v>137</v>
      </c>
      <c r="AF66" s="15"/>
    </row>
    <row r="67" spans="1:37">
      <c r="A67" s="12" t="s">
        <v>57</v>
      </c>
      <c r="B67" s="5" t="s">
        <v>114</v>
      </c>
      <c r="C67" s="12" t="s">
        <v>78</v>
      </c>
      <c r="E67" s="19">
        <v>0.70800399999999997</v>
      </c>
      <c r="G67" s="47">
        <v>0.154</v>
      </c>
      <c r="H67" s="15">
        <v>184</v>
      </c>
      <c r="I67" s="15">
        <v>2.41</v>
      </c>
      <c r="J67" s="14" t="s">
        <v>138</v>
      </c>
      <c r="K67" s="14" t="s">
        <v>139</v>
      </c>
      <c r="L67" s="16">
        <f>SUM(1000*I67/H67)</f>
        <v>13.097826086956522</v>
      </c>
      <c r="M67" s="16">
        <f>1000*G67/H67</f>
        <v>0.83695652173913049</v>
      </c>
      <c r="N67" s="16">
        <f>SUM(1/G67)</f>
        <v>6.4935064935064934</v>
      </c>
      <c r="O67" s="16">
        <f>SUM(H67/G67)</f>
        <v>1194.8051948051948</v>
      </c>
      <c r="P67" s="16"/>
      <c r="Q67" s="59">
        <f>(0.1/G67)</f>
        <v>0.64935064935064934</v>
      </c>
      <c r="R67" s="59">
        <f>0.05/G67</f>
        <v>0.32467532467532467</v>
      </c>
      <c r="S67" s="40"/>
      <c r="T67" s="19">
        <v>0.70800399999999997</v>
      </c>
      <c r="U67" s="40"/>
      <c r="V67" s="14" t="s">
        <v>137</v>
      </c>
      <c r="W67" s="14" t="s">
        <v>137</v>
      </c>
      <c r="X67" s="14" t="s">
        <v>137</v>
      </c>
      <c r="Y67" s="14" t="s">
        <v>137</v>
      </c>
      <c r="AF67" s="15"/>
    </row>
    <row r="68" spans="1:37">
      <c r="A68" s="12" t="s">
        <v>58</v>
      </c>
      <c r="B68" s="5" t="s">
        <v>114</v>
      </c>
      <c r="C68" s="12" t="s">
        <v>76</v>
      </c>
      <c r="E68" s="19">
        <v>0.70840800000000004</v>
      </c>
      <c r="G68" s="47">
        <v>7.5999999999999998E-2</v>
      </c>
      <c r="H68" s="15">
        <v>187</v>
      </c>
      <c r="I68" s="15">
        <v>1.34</v>
      </c>
      <c r="J68" s="14" t="s">
        <v>138</v>
      </c>
      <c r="K68" s="14" t="s">
        <v>139</v>
      </c>
      <c r="L68" s="16">
        <f>SUM(1000*I68/H68)</f>
        <v>7.1657754010695189</v>
      </c>
      <c r="M68" s="16">
        <f>1000*G68/H68</f>
        <v>0.40641711229946526</v>
      </c>
      <c r="N68" s="16">
        <f>SUM(1/G68)</f>
        <v>13.157894736842106</v>
      </c>
      <c r="O68" s="16">
        <f>SUM(H68/G68)</f>
        <v>2460.5263157894738</v>
      </c>
      <c r="P68" s="16"/>
      <c r="Q68" s="59">
        <f>(0.1/G68)</f>
        <v>1.3157894736842106</v>
      </c>
      <c r="R68" s="59">
        <f>0.05/G68</f>
        <v>0.65789473684210531</v>
      </c>
      <c r="S68" s="40"/>
      <c r="T68" s="19">
        <v>0.70840800000000004</v>
      </c>
      <c r="U68" s="40"/>
      <c r="V68" s="14" t="s">
        <v>137</v>
      </c>
      <c r="W68" s="14" t="s">
        <v>137</v>
      </c>
      <c r="X68" s="14" t="s">
        <v>137</v>
      </c>
      <c r="Y68" s="14" t="s">
        <v>137</v>
      </c>
      <c r="AF68" s="15"/>
    </row>
    <row r="69" spans="1:37">
      <c r="B69" s="5"/>
      <c r="E69" s="19"/>
      <c r="G69" s="47"/>
      <c r="H69" s="15"/>
      <c r="I69" s="15"/>
      <c r="L69" s="16"/>
      <c r="M69" s="16"/>
      <c r="N69" s="16"/>
      <c r="O69" s="16"/>
      <c r="P69" s="16"/>
      <c r="Q69" s="16"/>
      <c r="R69" s="16"/>
      <c r="S69" s="15"/>
      <c r="T69" s="19"/>
      <c r="U69" s="15"/>
      <c r="V69" s="14"/>
      <c r="W69" s="14"/>
      <c r="X69" s="14"/>
      <c r="Y69" s="14"/>
    </row>
    <row r="70" spans="1:37">
      <c r="A70" s="11" t="s">
        <v>59</v>
      </c>
      <c r="B70" s="5"/>
      <c r="E70" s="19"/>
      <c r="G70" s="47"/>
      <c r="H70" s="15"/>
      <c r="I70" s="15"/>
      <c r="L70" s="16"/>
      <c r="M70" s="16"/>
      <c r="N70" s="16"/>
      <c r="O70" s="16"/>
      <c r="P70" s="16" t="s">
        <v>144</v>
      </c>
      <c r="Q70" s="16"/>
      <c r="R70" s="16"/>
      <c r="S70" s="15"/>
      <c r="T70" s="19"/>
      <c r="U70" s="15"/>
      <c r="V70" s="14"/>
      <c r="W70" s="14"/>
      <c r="X70" s="14"/>
      <c r="Y70" s="14"/>
    </row>
    <row r="71" spans="1:37">
      <c r="A71" s="12" t="s">
        <v>51</v>
      </c>
      <c r="B71" s="5"/>
      <c r="C71" s="12" t="s">
        <v>71</v>
      </c>
      <c r="E71" s="19">
        <v>0.71132799999999996</v>
      </c>
      <c r="G71" s="47">
        <v>6.2E-2</v>
      </c>
      <c r="H71" s="16">
        <v>178</v>
      </c>
      <c r="I71" s="16">
        <v>1.4</v>
      </c>
      <c r="L71" s="16">
        <f>SUM(1000*I71/H71)</f>
        <v>7.8651685393258424</v>
      </c>
      <c r="M71" s="15">
        <f t="shared" ref="M71:M79" si="10">SUM(1000*G71/H71)</f>
        <v>0.34831460674157305</v>
      </c>
      <c r="N71" s="16">
        <f t="shared" ref="N71:N85" si="11">SUM(1/G71)</f>
        <v>16.129032258064516</v>
      </c>
      <c r="O71" s="16">
        <f t="shared" ref="O71:O85" si="12">SUM(H71/G71)</f>
        <v>2870.9677419354839</v>
      </c>
      <c r="P71" s="16">
        <f t="shared" ref="P71:P78" si="13">O71*0.15</f>
        <v>430.64516129032256</v>
      </c>
      <c r="Q71" s="16">
        <f t="shared" ref="Q71:Q85" si="14">SUM(K71/G71)</f>
        <v>0</v>
      </c>
      <c r="R71" s="16"/>
      <c r="S71" s="15"/>
      <c r="T71" s="19">
        <v>0.71132799999999996</v>
      </c>
      <c r="U71" s="15"/>
      <c r="V71" s="14" t="s">
        <v>137</v>
      </c>
      <c r="W71" s="14" t="s">
        <v>137</v>
      </c>
      <c r="X71" s="14" t="s">
        <v>137</v>
      </c>
      <c r="Y71" s="14" t="s">
        <v>137</v>
      </c>
    </row>
    <row r="72" spans="1:37">
      <c r="A72" s="12" t="s">
        <v>52</v>
      </c>
      <c r="B72" s="5"/>
      <c r="C72" s="12" t="s">
        <v>72</v>
      </c>
      <c r="E72" s="19">
        <v>0.71134200000000003</v>
      </c>
      <c r="G72" s="47">
        <v>1.7999999999999999E-2</v>
      </c>
      <c r="H72" s="16">
        <v>192</v>
      </c>
      <c r="I72" s="16">
        <v>0.38</v>
      </c>
      <c r="L72" s="16">
        <f>SUM(1000*I72/H72)</f>
        <v>1.9791666666666667</v>
      </c>
      <c r="M72" s="15">
        <f t="shared" si="10"/>
        <v>9.375E-2</v>
      </c>
      <c r="N72" s="16">
        <f t="shared" si="11"/>
        <v>55.555555555555557</v>
      </c>
      <c r="O72" s="16">
        <f t="shared" si="12"/>
        <v>10666.666666666668</v>
      </c>
      <c r="P72" s="16">
        <f t="shared" si="13"/>
        <v>1600.0000000000002</v>
      </c>
      <c r="Q72" s="16">
        <f t="shared" si="14"/>
        <v>0</v>
      </c>
      <c r="R72" s="16"/>
      <c r="S72" s="15"/>
      <c r="T72" s="19">
        <v>0.71134200000000003</v>
      </c>
      <c r="U72" s="15"/>
      <c r="V72" s="14" t="s">
        <v>137</v>
      </c>
      <c r="W72" s="14" t="s">
        <v>137</v>
      </c>
      <c r="X72" s="14" t="s">
        <v>137</v>
      </c>
      <c r="Y72" s="14" t="s">
        <v>137</v>
      </c>
    </row>
    <row r="73" spans="1:37">
      <c r="A73" s="12" t="s">
        <v>171</v>
      </c>
      <c r="B73" s="5"/>
      <c r="E73" s="19">
        <v>0.71167499999999995</v>
      </c>
      <c r="F73" s="12" t="s">
        <v>173</v>
      </c>
      <c r="G73" s="12">
        <v>62.68</v>
      </c>
      <c r="H73" s="60">
        <v>400000</v>
      </c>
      <c r="I73" s="16"/>
      <c r="L73" s="16"/>
      <c r="M73" s="15">
        <f t="shared" si="10"/>
        <v>0.15670000000000001</v>
      </c>
      <c r="N73" s="16"/>
      <c r="O73" s="16">
        <v>6381.6209317166558</v>
      </c>
      <c r="P73" s="16">
        <f t="shared" si="13"/>
        <v>957.24313975749828</v>
      </c>
      <c r="Q73" s="16"/>
      <c r="R73" s="16"/>
      <c r="S73" s="15"/>
      <c r="T73" s="19">
        <v>0.71167499999999995</v>
      </c>
      <c r="U73" s="15"/>
      <c r="V73" s="14"/>
      <c r="W73" s="14"/>
      <c r="X73" s="14"/>
      <c r="Y73" s="14"/>
    </row>
    <row r="74" spans="1:37">
      <c r="A74" s="12" t="s">
        <v>53</v>
      </c>
      <c r="B74" s="5"/>
      <c r="C74" s="12" t="s">
        <v>73</v>
      </c>
      <c r="E74" s="19">
        <v>0.71181000000000005</v>
      </c>
      <c r="G74" s="47">
        <v>3.5999999999999997E-2</v>
      </c>
      <c r="H74" s="16">
        <v>199</v>
      </c>
      <c r="I74" s="16">
        <v>1.0900000000000001</v>
      </c>
      <c r="L74" s="16">
        <f>SUM(1000*I74/H74)</f>
        <v>5.4773869346733672</v>
      </c>
      <c r="M74" s="15">
        <f t="shared" si="10"/>
        <v>0.18090452261306533</v>
      </c>
      <c r="N74" s="16">
        <f t="shared" si="11"/>
        <v>27.777777777777779</v>
      </c>
      <c r="O74" s="16">
        <f t="shared" si="12"/>
        <v>5527.7777777777783</v>
      </c>
      <c r="P74" s="16">
        <f t="shared" si="13"/>
        <v>829.16666666666674</v>
      </c>
      <c r="Q74" s="16">
        <f t="shared" si="14"/>
        <v>0</v>
      </c>
      <c r="R74" s="16"/>
      <c r="S74" s="15"/>
      <c r="T74" s="19">
        <v>0.71181000000000005</v>
      </c>
      <c r="U74" s="15"/>
      <c r="V74" s="14" t="s">
        <v>137</v>
      </c>
      <c r="W74" s="14" t="s">
        <v>137</v>
      </c>
      <c r="X74" s="14" t="s">
        <v>137</v>
      </c>
      <c r="Y74" s="14" t="s">
        <v>137</v>
      </c>
    </row>
    <row r="75" spans="1:37">
      <c r="A75" s="12" t="s">
        <v>169</v>
      </c>
      <c r="B75" s="5"/>
      <c r="E75" s="19">
        <v>0.71154899999999999</v>
      </c>
      <c r="F75" s="12" t="s">
        <v>173</v>
      </c>
      <c r="G75" s="12">
        <v>58.45</v>
      </c>
      <c r="H75" s="60">
        <v>400000</v>
      </c>
      <c r="I75" s="16"/>
      <c r="L75" s="16"/>
      <c r="M75" s="15">
        <f t="shared" si="10"/>
        <v>0.146125</v>
      </c>
      <c r="N75" s="16"/>
      <c r="O75" s="16">
        <v>6843.4559452523517</v>
      </c>
      <c r="P75" s="16">
        <f t="shared" si="13"/>
        <v>1026.5183917878528</v>
      </c>
      <c r="Q75" s="16"/>
      <c r="R75" s="16"/>
      <c r="S75" s="15"/>
      <c r="T75" s="19">
        <v>0.71154899999999999</v>
      </c>
      <c r="U75" s="15"/>
      <c r="V75" s="14"/>
      <c r="W75" s="14"/>
      <c r="X75" s="14"/>
      <c r="Y75" s="14"/>
    </row>
    <row r="76" spans="1:37">
      <c r="A76" s="12" t="s">
        <v>170</v>
      </c>
      <c r="B76" s="5"/>
      <c r="E76" s="19">
        <v>0.711148</v>
      </c>
      <c r="F76" s="12" t="s">
        <v>173</v>
      </c>
      <c r="G76" s="12">
        <v>49.82</v>
      </c>
      <c r="H76" s="60">
        <v>400000</v>
      </c>
      <c r="I76" s="16"/>
      <c r="L76" s="16"/>
      <c r="M76" s="15">
        <f t="shared" si="10"/>
        <v>0.12454999999999999</v>
      </c>
      <c r="N76" s="16"/>
      <c r="O76" s="16">
        <v>8028.9040545965472</v>
      </c>
      <c r="P76" s="16">
        <f t="shared" si="13"/>
        <v>1204.3356081894819</v>
      </c>
      <c r="Q76" s="16"/>
      <c r="R76" s="16"/>
      <c r="S76" s="15"/>
      <c r="T76" s="19">
        <v>0.711148</v>
      </c>
      <c r="U76" s="15"/>
      <c r="V76" s="14"/>
      <c r="W76" s="14"/>
      <c r="X76" s="14"/>
      <c r="Y76" s="14"/>
    </row>
    <row r="77" spans="1:37">
      <c r="A77" s="12" t="s">
        <v>54</v>
      </c>
      <c r="B77" s="5"/>
      <c r="C77" s="12" t="s">
        <v>75</v>
      </c>
      <c r="E77" s="19">
        <v>0.71125499999999997</v>
      </c>
      <c r="G77" s="47">
        <v>2E-3</v>
      </c>
      <c r="H77" s="16">
        <v>38.700000000000003</v>
      </c>
      <c r="I77" s="16">
        <v>0.06</v>
      </c>
      <c r="L77" s="16">
        <f>SUM(1000*I77/H77)</f>
        <v>1.5503875968992247</v>
      </c>
      <c r="M77" s="15">
        <f t="shared" si="10"/>
        <v>5.1679586563307491E-2</v>
      </c>
      <c r="N77" s="16">
        <f t="shared" si="11"/>
        <v>500</v>
      </c>
      <c r="O77" s="16">
        <f t="shared" si="12"/>
        <v>19350</v>
      </c>
      <c r="P77" s="16">
        <f t="shared" si="13"/>
        <v>2902.5</v>
      </c>
      <c r="Q77" s="16">
        <f t="shared" si="14"/>
        <v>0</v>
      </c>
      <c r="R77" s="16"/>
      <c r="S77" s="15"/>
      <c r="T77" s="19">
        <v>0.71125499999999997</v>
      </c>
      <c r="U77" s="15"/>
      <c r="V77" s="14" t="s">
        <v>137</v>
      </c>
      <c r="W77" s="14" t="s">
        <v>137</v>
      </c>
      <c r="X77" s="14" t="s">
        <v>137</v>
      </c>
      <c r="Y77" s="14" t="s">
        <v>137</v>
      </c>
    </row>
    <row r="78" spans="1:37">
      <c r="A78" s="47" t="s">
        <v>172</v>
      </c>
      <c r="B78" s="5"/>
      <c r="E78" s="19">
        <v>0.71100799999999997</v>
      </c>
      <c r="F78" s="12" t="s">
        <v>173</v>
      </c>
      <c r="G78" s="12">
        <v>41.23</v>
      </c>
      <c r="H78" s="60">
        <v>400000</v>
      </c>
      <c r="I78" s="16"/>
      <c r="L78" s="16"/>
      <c r="M78" s="15">
        <f t="shared" si="10"/>
        <v>0.103075</v>
      </c>
      <c r="N78" s="16"/>
      <c r="O78" s="16">
        <v>9701.6735386854234</v>
      </c>
      <c r="P78" s="16">
        <f t="shared" si="13"/>
        <v>1455.2510308028134</v>
      </c>
      <c r="Q78" s="16"/>
      <c r="R78" s="16"/>
      <c r="S78" s="15"/>
      <c r="T78" s="19">
        <v>0.71100799999999997</v>
      </c>
      <c r="U78" s="15"/>
      <c r="V78" s="14"/>
      <c r="W78" s="14"/>
      <c r="X78" s="14"/>
      <c r="Y78" s="14"/>
    </row>
    <row r="79" spans="1:37">
      <c r="A79" s="12" t="s">
        <v>55</v>
      </c>
      <c r="B79" s="5"/>
      <c r="C79" s="12" t="s">
        <v>74</v>
      </c>
      <c r="E79" s="19">
        <v>0.71097200000000005</v>
      </c>
      <c r="G79" s="47">
        <v>0</v>
      </c>
      <c r="H79" s="16">
        <v>16.3</v>
      </c>
      <c r="I79" s="16">
        <v>0</v>
      </c>
      <c r="L79" s="16">
        <f>SUM(1000*I79/H79)</f>
        <v>0</v>
      </c>
      <c r="M79" s="15">
        <f t="shared" si="10"/>
        <v>0</v>
      </c>
      <c r="N79" s="40" t="s">
        <v>136</v>
      </c>
      <c r="O79" s="40" t="s">
        <v>136</v>
      </c>
      <c r="P79" s="16"/>
      <c r="Q79" s="59" t="s">
        <v>136</v>
      </c>
      <c r="R79" s="16"/>
      <c r="S79" s="15"/>
      <c r="T79" s="19">
        <v>0.71097200000000005</v>
      </c>
      <c r="U79" s="15"/>
      <c r="V79" s="14" t="s">
        <v>137</v>
      </c>
      <c r="W79" s="14" t="s">
        <v>137</v>
      </c>
      <c r="X79" s="14" t="s">
        <v>137</v>
      </c>
      <c r="Y79" s="14" t="s">
        <v>137</v>
      </c>
    </row>
    <row r="80" spans="1:37">
      <c r="A80" s="1"/>
      <c r="B80" s="24"/>
      <c r="C80" s="1"/>
      <c r="D80" s="1"/>
      <c r="E80" s="45"/>
      <c r="F80" s="1" t="s">
        <v>174</v>
      </c>
      <c r="G80" s="50"/>
      <c r="L80" s="16"/>
      <c r="M80" s="16"/>
      <c r="N80" s="16"/>
      <c r="O80" s="16"/>
      <c r="P80" s="16"/>
      <c r="Q80" s="16"/>
      <c r="R80" s="16"/>
      <c r="S80" s="15"/>
      <c r="T80" s="45"/>
      <c r="U80" s="15"/>
      <c r="AJ80" s="15"/>
      <c r="AK80" s="15"/>
    </row>
    <row r="81" spans="1:30">
      <c r="A81" s="11" t="s">
        <v>70</v>
      </c>
      <c r="B81" s="24"/>
      <c r="C81" s="1"/>
      <c r="D81" s="1"/>
      <c r="E81" s="45"/>
      <c r="F81" s="1"/>
      <c r="G81" s="51" t="s">
        <v>69</v>
      </c>
      <c r="I81" s="17"/>
      <c r="J81" s="17"/>
      <c r="K81" s="17"/>
      <c r="L81" s="16"/>
      <c r="M81" s="16"/>
      <c r="N81" s="16"/>
      <c r="O81" s="16"/>
      <c r="P81" s="16"/>
      <c r="Q81" s="16"/>
      <c r="R81" s="16"/>
      <c r="S81" s="15"/>
      <c r="T81" s="45"/>
      <c r="U81" s="15"/>
      <c r="AD81" s="15"/>
    </row>
    <row r="82" spans="1:30">
      <c r="A82" s="12" t="s">
        <v>63</v>
      </c>
      <c r="B82" s="5"/>
      <c r="E82" s="19">
        <v>0.70343900000000004</v>
      </c>
      <c r="G82" s="15">
        <v>0.22</v>
      </c>
      <c r="H82" s="16">
        <v>9.8499800000000004</v>
      </c>
      <c r="I82" s="16">
        <v>0.100408</v>
      </c>
      <c r="J82" s="16">
        <v>8.6995199999999995E-2</v>
      </c>
      <c r="K82" s="16">
        <v>0</v>
      </c>
      <c r="L82" s="16">
        <f>SUM(1000*I82/H82)</f>
        <v>10.19372628167773</v>
      </c>
      <c r="M82" s="16">
        <f>SUM(1000*G82/H82)</f>
        <v>22.335070731108082</v>
      </c>
      <c r="N82" s="16">
        <f t="shared" si="11"/>
        <v>4.5454545454545459</v>
      </c>
      <c r="O82" s="16">
        <f t="shared" si="12"/>
        <v>44.772636363636366</v>
      </c>
      <c r="P82" s="16"/>
      <c r="Q82" s="16"/>
      <c r="R82" s="16">
        <f>(J82/G82)</f>
        <v>0.39543272727272727</v>
      </c>
      <c r="S82" s="15"/>
      <c r="T82" s="19">
        <v>0.70343900000000004</v>
      </c>
      <c r="U82" s="15"/>
      <c r="V82" s="16">
        <v>0.25919300000000001</v>
      </c>
      <c r="W82" s="16">
        <v>142.971</v>
      </c>
      <c r="X82" s="16">
        <v>0.141765</v>
      </c>
      <c r="Y82" s="16">
        <v>1.1171800000000001</v>
      </c>
      <c r="AD82" s="15"/>
    </row>
    <row r="83" spans="1:30">
      <c r="A83" s="12" t="s">
        <v>64</v>
      </c>
      <c r="B83" s="5"/>
      <c r="C83" s="12" t="s">
        <v>65</v>
      </c>
      <c r="E83" s="19">
        <v>0.70343199999999995</v>
      </c>
      <c r="G83" s="15">
        <v>0.3</v>
      </c>
      <c r="H83" s="16">
        <v>3.1125699999999998</v>
      </c>
      <c r="I83" s="16">
        <v>0.189273</v>
      </c>
      <c r="J83" s="16">
        <v>0.66300099999999995</v>
      </c>
      <c r="K83" s="16">
        <v>24.4465</v>
      </c>
      <c r="L83" s="16">
        <f>SUM(1000*I83/H83)</f>
        <v>60.809234812389761</v>
      </c>
      <c r="M83" s="16">
        <f>SUM(1000*G83/H83)</f>
        <v>96.383374510452782</v>
      </c>
      <c r="N83" s="16">
        <f t="shared" si="11"/>
        <v>3.3333333333333335</v>
      </c>
      <c r="O83" s="16">
        <f t="shared" si="12"/>
        <v>10.375233333333334</v>
      </c>
      <c r="P83" s="16"/>
      <c r="Q83" s="16">
        <f t="shared" si="14"/>
        <v>81.488333333333344</v>
      </c>
      <c r="R83" s="16">
        <f>(J83/G83)</f>
        <v>2.2100033333333333</v>
      </c>
      <c r="S83" s="15"/>
      <c r="T83" s="19">
        <v>0.70343199999999995</v>
      </c>
      <c r="U83" s="15"/>
      <c r="V83" s="16">
        <v>21.905000000000001</v>
      </c>
      <c r="W83" s="16">
        <v>118.64700000000001</v>
      </c>
      <c r="X83" s="16">
        <v>15.191000000000001</v>
      </c>
      <c r="Y83" s="16">
        <v>5.6022800000000004</v>
      </c>
      <c r="AD83" s="15"/>
    </row>
    <row r="84" spans="1:30">
      <c r="A84" s="12" t="s">
        <v>66</v>
      </c>
      <c r="B84" s="5"/>
      <c r="C84" s="12" t="s">
        <v>116</v>
      </c>
      <c r="E84" s="19">
        <v>0.70332499999999998</v>
      </c>
      <c r="G84" s="15">
        <v>0.33</v>
      </c>
      <c r="H84" s="16">
        <v>1.7142200000000001</v>
      </c>
      <c r="I84" s="16">
        <v>4.9205600000000002E-2</v>
      </c>
      <c r="J84" s="16">
        <v>0.37861499999999998</v>
      </c>
      <c r="K84" s="16">
        <v>11.9329</v>
      </c>
      <c r="L84" s="16">
        <f>SUM(1000*I84/H84)</f>
        <v>28.704367000735029</v>
      </c>
      <c r="M84" s="16">
        <f>SUM(1000*G84/H84)</f>
        <v>192.50737944954557</v>
      </c>
      <c r="N84" s="16">
        <f t="shared" si="11"/>
        <v>3.0303030303030303</v>
      </c>
      <c r="O84" s="16">
        <f t="shared" si="12"/>
        <v>5.1946060606060609</v>
      </c>
      <c r="P84" s="16"/>
      <c r="Q84" s="16">
        <f t="shared" si="14"/>
        <v>36.160303030303027</v>
      </c>
      <c r="R84" s="16">
        <f>(J84/G84)</f>
        <v>1.1473181818181817</v>
      </c>
      <c r="S84" s="15"/>
      <c r="T84" s="19">
        <v>0.70332499999999998</v>
      </c>
      <c r="U84" s="15"/>
      <c r="V84" s="16">
        <v>10.6652</v>
      </c>
      <c r="W84" s="16">
        <v>119.46299999999999</v>
      </c>
      <c r="X84" s="16">
        <v>13.105600000000001</v>
      </c>
      <c r="Y84" s="16">
        <v>17.5152</v>
      </c>
      <c r="AD84" s="15"/>
    </row>
    <row r="85" spans="1:30">
      <c r="A85" s="12" t="s">
        <v>67</v>
      </c>
      <c r="B85" s="5"/>
      <c r="C85" s="12" t="s">
        <v>68</v>
      </c>
      <c r="E85" s="19">
        <v>0.70808800000000005</v>
      </c>
      <c r="G85" s="15">
        <v>0.04</v>
      </c>
      <c r="H85" s="16">
        <v>1.1173500000000001</v>
      </c>
      <c r="I85" s="16">
        <v>0.151809</v>
      </c>
      <c r="J85" s="16">
        <v>0.79283300000000001</v>
      </c>
      <c r="K85" s="16">
        <v>12.212300000000001</v>
      </c>
      <c r="L85" s="16">
        <f>SUM(1000*I85/H85)</f>
        <v>135.86521680762519</v>
      </c>
      <c r="M85" s="16">
        <f>SUM(1000*G85/H85)</f>
        <v>35.798988678569827</v>
      </c>
      <c r="N85" s="16">
        <f t="shared" si="11"/>
        <v>25</v>
      </c>
      <c r="O85" s="16">
        <f t="shared" si="12"/>
        <v>27.93375</v>
      </c>
      <c r="P85" s="16"/>
      <c r="Q85" s="16">
        <f t="shared" si="14"/>
        <v>305.3075</v>
      </c>
      <c r="R85" s="16">
        <f>(J85/G85)</f>
        <v>19.820824999999999</v>
      </c>
      <c r="S85" s="15"/>
      <c r="T85" s="19">
        <v>0.70808800000000005</v>
      </c>
      <c r="U85" s="15"/>
      <c r="V85" s="16">
        <v>12.7241</v>
      </c>
      <c r="W85" s="16">
        <v>144.31399999999999</v>
      </c>
      <c r="X85" s="16">
        <v>16.774100000000001</v>
      </c>
      <c r="Y85" s="16">
        <v>1.8928100000000001</v>
      </c>
      <c r="AD85" s="15"/>
    </row>
    <row r="86" spans="1:30">
      <c r="B86" s="5"/>
      <c r="E86" s="19"/>
      <c r="G86" s="47"/>
      <c r="T86" s="19"/>
    </row>
    <row r="87" spans="1:30">
      <c r="A87" s="12" t="s">
        <v>9</v>
      </c>
      <c r="B87" s="5"/>
      <c r="C87" s="12" t="s">
        <v>94</v>
      </c>
      <c r="E87" s="19">
        <v>0.71025000000000005</v>
      </c>
      <c r="K87" s="11"/>
      <c r="L87" s="11"/>
      <c r="M87" s="11"/>
      <c r="N87" s="11"/>
      <c r="T87" s="19">
        <v>0.71025000000000005</v>
      </c>
    </row>
    <row r="88" spans="1:30">
      <c r="B88" s="5"/>
      <c r="E88" s="19"/>
      <c r="T88" s="19"/>
    </row>
    <row r="89" spans="1:30">
      <c r="B89" s="5"/>
      <c r="E89" s="19"/>
      <c r="T89" s="19"/>
    </row>
    <row r="90" spans="1:30">
      <c r="B90" s="5"/>
      <c r="E90" s="19"/>
      <c r="T90" s="19"/>
    </row>
    <row r="91" spans="1:30">
      <c r="B91" s="5"/>
      <c r="E91" s="19"/>
      <c r="T91" s="19"/>
    </row>
    <row r="92" spans="1:30">
      <c r="B92" s="5"/>
      <c r="E92" s="19"/>
      <c r="T92" s="19"/>
    </row>
    <row r="93" spans="1:30">
      <c r="B93" s="5"/>
      <c r="E93" s="19"/>
      <c r="T93" s="19"/>
    </row>
    <row r="94" spans="1:30">
      <c r="B94" s="5"/>
      <c r="E94" s="19"/>
      <c r="T94" s="19"/>
    </row>
    <row r="95" spans="1:30">
      <c r="B95" s="5"/>
      <c r="E95" s="19"/>
      <c r="T95" s="19"/>
    </row>
    <row r="96" spans="1:30">
      <c r="B96" s="5"/>
      <c r="E96" s="19"/>
      <c r="T96" s="19"/>
    </row>
    <row r="97" spans="2:20">
      <c r="B97" s="5"/>
      <c r="E97" s="19"/>
      <c r="T97" s="19"/>
    </row>
    <row r="98" spans="2:20">
      <c r="B98" s="5"/>
      <c r="E98" s="19"/>
      <c r="T98" s="19"/>
    </row>
    <row r="99" spans="2:20">
      <c r="B99" s="5"/>
      <c r="E99" s="19"/>
      <c r="T99" s="19"/>
    </row>
    <row r="100" spans="2:20">
      <c r="B100" s="5"/>
      <c r="E100" s="19"/>
      <c r="T100" s="19"/>
    </row>
    <row r="101" spans="2:20">
      <c r="B101" s="5"/>
      <c r="E101" s="19"/>
      <c r="T101" s="19"/>
    </row>
    <row r="102" spans="2:20">
      <c r="B102" s="5"/>
      <c r="E102" s="19"/>
      <c r="T102" s="19"/>
    </row>
    <row r="103" spans="2:20">
      <c r="B103" s="5"/>
      <c r="E103" s="19"/>
      <c r="T103" s="19"/>
    </row>
    <row r="104" spans="2:20">
      <c r="B104" s="5"/>
      <c r="E104" s="19"/>
      <c r="T104" s="19"/>
    </row>
    <row r="105" spans="2:20">
      <c r="B105" s="5"/>
      <c r="E105" s="19"/>
      <c r="T105" s="19"/>
    </row>
    <row r="106" spans="2:20">
      <c r="B106" s="5"/>
      <c r="E106" s="19"/>
      <c r="T106" s="19"/>
    </row>
    <row r="107" spans="2:20">
      <c r="B107" s="5"/>
      <c r="E107" s="19"/>
      <c r="T107" s="19"/>
    </row>
    <row r="108" spans="2:20">
      <c r="B108" s="5"/>
      <c r="E108" s="19"/>
      <c r="T108" s="19"/>
    </row>
    <row r="109" spans="2:20">
      <c r="B109" s="5"/>
      <c r="E109" s="19"/>
      <c r="T109" s="19"/>
    </row>
    <row r="110" spans="2:20">
      <c r="B110" s="5"/>
      <c r="E110" s="19"/>
      <c r="T110" s="19"/>
    </row>
    <row r="111" spans="2:20">
      <c r="B111" s="5"/>
      <c r="E111" s="19"/>
      <c r="T111" s="19"/>
    </row>
    <row r="112" spans="2:20">
      <c r="B112" s="5"/>
      <c r="E112" s="19"/>
      <c r="T112" s="19"/>
    </row>
    <row r="113" spans="2:20">
      <c r="B113" s="5"/>
      <c r="E113" s="19"/>
      <c r="T113" s="19"/>
    </row>
    <row r="114" spans="2:20">
      <c r="B114" s="5"/>
      <c r="E114" s="19"/>
      <c r="T114" s="19"/>
    </row>
    <row r="115" spans="2:20">
      <c r="B115" s="5"/>
      <c r="E115" s="19"/>
      <c r="T115" s="19"/>
    </row>
    <row r="116" spans="2:20">
      <c r="B116" s="5"/>
      <c r="E116" s="19"/>
      <c r="T116" s="19"/>
    </row>
    <row r="117" spans="2:20">
      <c r="B117" s="5"/>
      <c r="E117" s="19"/>
      <c r="T117" s="19"/>
    </row>
    <row r="118" spans="2:20">
      <c r="B118" s="5"/>
      <c r="E118" s="19"/>
      <c r="T118" s="19"/>
    </row>
    <row r="119" spans="2:20">
      <c r="B119" s="5"/>
      <c r="E119" s="19"/>
      <c r="T119" s="19"/>
    </row>
    <row r="120" spans="2:20">
      <c r="B120" s="5"/>
    </row>
    <row r="121" spans="2:20">
      <c r="B121" s="5"/>
    </row>
    <row r="122" spans="2:20">
      <c r="B122" s="5"/>
    </row>
  </sheetData>
  <pageMargins left="0.11811023622047245" right="0.11811023622047245" top="0" bottom="0.36" header="0.19685039370078741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mixing line calcs</vt:lpstr>
      <vt:lpstr>all data</vt:lpstr>
      <vt:lpstr>Figure 5.15 Sr isotopes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Baruch Spiro</dc:creator>
  <cp:lastModifiedBy>ian</cp:lastModifiedBy>
  <cp:lastPrinted>2010-08-29T14:19:06Z</cp:lastPrinted>
  <dcterms:created xsi:type="dcterms:W3CDTF">1999-08-18T08:46:30Z</dcterms:created>
  <dcterms:modified xsi:type="dcterms:W3CDTF">2011-12-28T20:55:18Z</dcterms:modified>
</cp:coreProperties>
</file>