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firstSheet="5" activeTab="6"/>
  </bookViews>
  <sheets>
    <sheet name="cc sat" sheetId="1" r:id="rId1"/>
    <sheet name="Pptnlines" sheetId="2" r:id="rId2"/>
    <sheet name="Boss" sheetId="3" r:id="rId3"/>
    <sheet name="Frog3" sheetId="4" r:id="rId4"/>
    <sheet name="Frog5" sheetId="5" r:id="rId5"/>
    <sheet name="Fgiure 5.23d" sheetId="6" r:id="rId6"/>
    <sheet name="Fgiure 5.23c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<sst xmlns="http://schemas.openxmlformats.org/spreadsheetml/2006/main" count="339" uniqueCount="163">
  <si>
    <t>Ca</t>
  </si>
  <si>
    <t>Sr</t>
  </si>
  <si>
    <t>Sr/Ca</t>
  </si>
  <si>
    <t>Cl</t>
  </si>
  <si>
    <t>Brown's Folly Mine - Site data</t>
  </si>
  <si>
    <t xml:space="preserve">NB. * indicates left sample; conductivity and luminescence data recorded </t>
  </si>
  <si>
    <t xml:space="preserve">NB2. Samples collected and recorded on 04.02.97 were from bottles placed </t>
  </si>
  <si>
    <t>**pH measured with new probe on 24.1.97 was 8.1; pH measured</t>
  </si>
  <si>
    <t>Site 4: Boss</t>
  </si>
  <si>
    <t>for day on which sample was left, not day on which sample was collected.</t>
  </si>
  <si>
    <t>on 03.02.97 and left overnight.</t>
  </si>
  <si>
    <t xml:space="preserve">  on collected sample 24.1-3.2.97 was 8.5.</t>
  </si>
  <si>
    <t>new</t>
  </si>
  <si>
    <t>Date</t>
  </si>
  <si>
    <t>Q (s/drip)</t>
  </si>
  <si>
    <t>1/Q</t>
  </si>
  <si>
    <t>pH</t>
  </si>
  <si>
    <t>Cond</t>
  </si>
  <si>
    <t>HCO3</t>
  </si>
  <si>
    <t>Mg</t>
  </si>
  <si>
    <t>Sr (ppb)</t>
  </si>
  <si>
    <t xml:space="preserve">Sr </t>
  </si>
  <si>
    <t>Mg/Ca</t>
  </si>
  <si>
    <t>Na</t>
  </si>
  <si>
    <t>K</t>
  </si>
  <si>
    <t>SO4</t>
  </si>
  <si>
    <t>Lumin</t>
  </si>
  <si>
    <t>Wvlength</t>
  </si>
  <si>
    <t>Ion</t>
  </si>
  <si>
    <t>S.I.</t>
  </si>
  <si>
    <t>Mg/Na</t>
  </si>
  <si>
    <t>Cl/Na</t>
  </si>
  <si>
    <t>(mmol/l)</t>
  </si>
  <si>
    <t>corrected</t>
  </si>
  <si>
    <t>of lumin</t>
  </si>
  <si>
    <t>Aragonite</t>
  </si>
  <si>
    <t>Calcite</t>
  </si>
  <si>
    <t>Dolomite</t>
  </si>
  <si>
    <t>molar</t>
  </si>
  <si>
    <t>Dry changed to 0.0001</t>
  </si>
  <si>
    <t>or Ca (degassed)</t>
  </si>
  <si>
    <t>22.01.96</t>
  </si>
  <si>
    <t>19.03.96</t>
  </si>
  <si>
    <t>04.05.96</t>
  </si>
  <si>
    <t>08.06.96</t>
  </si>
  <si>
    <t>Dry</t>
  </si>
  <si>
    <t>31.07.96</t>
  </si>
  <si>
    <t>09.08.96</t>
  </si>
  <si>
    <t>14.09.96</t>
  </si>
  <si>
    <t>13.10.96</t>
  </si>
  <si>
    <t>02.11.96</t>
  </si>
  <si>
    <t>22.11.96</t>
  </si>
  <si>
    <t>02.12.96 *</t>
  </si>
  <si>
    <t>13.12.96</t>
  </si>
  <si>
    <t>23.12.96</t>
  </si>
  <si>
    <t>03.01.97 *</t>
  </si>
  <si>
    <t>13.01.97</t>
  </si>
  <si>
    <t>24.01.97 *</t>
  </si>
  <si>
    <t>**8.10</t>
  </si>
  <si>
    <t>2.18degassed</t>
  </si>
  <si>
    <t>03.02.97</t>
  </si>
  <si>
    <t>04.02.97</t>
  </si>
  <si>
    <t>15.02.97</t>
  </si>
  <si>
    <t>25.02.97</t>
  </si>
  <si>
    <t>09.03.97</t>
  </si>
  <si>
    <t>19.03.97</t>
  </si>
  <si>
    <t>7.63(?)</t>
  </si>
  <si>
    <t>28.03.97</t>
  </si>
  <si>
    <t>16.04.97</t>
  </si>
  <si>
    <t>07.05.97</t>
  </si>
  <si>
    <t>27.05.97</t>
  </si>
  <si>
    <t>16.06.97</t>
  </si>
  <si>
    <t>09.07.97</t>
  </si>
  <si>
    <t>26.07.97</t>
  </si>
  <si>
    <t>13.08.97</t>
  </si>
  <si>
    <t>29.08.97</t>
  </si>
  <si>
    <t>08.09.97</t>
  </si>
  <si>
    <t>18.09.97</t>
  </si>
  <si>
    <t>28.09.97</t>
  </si>
  <si>
    <t>08.10.97</t>
  </si>
  <si>
    <t>18.10.97</t>
  </si>
  <si>
    <t>27.10.97</t>
  </si>
  <si>
    <t>17.11.97</t>
  </si>
  <si>
    <t>4.12.97</t>
  </si>
  <si>
    <t>20.12.97</t>
  </si>
  <si>
    <t>7.1.98</t>
  </si>
  <si>
    <t>7.1.98 (3 hrs later)</t>
  </si>
  <si>
    <t>4.2.98</t>
  </si>
  <si>
    <t>28.2.98</t>
  </si>
  <si>
    <t>Mean</t>
  </si>
  <si>
    <t>std dev</t>
  </si>
  <si>
    <t>rel. std. Dev.</t>
  </si>
  <si>
    <t>Max discharge</t>
  </si>
  <si>
    <t>Minimum:</t>
  </si>
  <si>
    <t>Max in litres/second</t>
  </si>
  <si>
    <t xml:space="preserve">NB. * indicates left sample; conductivity, trace element and luminescence data recorded </t>
  </si>
  <si>
    <t>**pH measured with new probe on 24.1.97 was 8.0; pH measured</t>
  </si>
  <si>
    <t>***pH measured with new probe on 24.1.97 was 8.3; pH measured</t>
  </si>
  <si>
    <t>Site 13: Frog 3</t>
  </si>
  <si>
    <t>(Records begin 03.01.97)</t>
  </si>
  <si>
    <t xml:space="preserve">  on collected sample 24.1-3.2.97 was 8.4.</t>
  </si>
  <si>
    <t xml:space="preserve">  on collected sample 25.2-9.3.97 was 7.87.</t>
  </si>
  <si>
    <t>1000Mg/Ca wt</t>
  </si>
  <si>
    <t>drips/min</t>
  </si>
  <si>
    <t>or Ca*</t>
  </si>
  <si>
    <t>02.12.96</t>
  </si>
  <si>
    <t>**8</t>
  </si>
  <si>
    <t>15.02.97 *</t>
  </si>
  <si>
    <t>25.02.97 *</t>
  </si>
  <si>
    <t>09.03.97 *</t>
  </si>
  <si>
    <t>19.03.97 *</t>
  </si>
  <si>
    <t>28.03.97 *</t>
  </si>
  <si>
    <t>16.04.97*</t>
  </si>
  <si>
    <t>07.05.97*</t>
  </si>
  <si>
    <t>27.05.97*</t>
  </si>
  <si>
    <t>16.06.97*</t>
  </si>
  <si>
    <t>09.07.97*</t>
  </si>
  <si>
    <t>26.07.97*</t>
  </si>
  <si>
    <t>13.08.97*</t>
  </si>
  <si>
    <t>29.08.97*</t>
  </si>
  <si>
    <t>08.09.97*</t>
  </si>
  <si>
    <t>18.09.97*</t>
  </si>
  <si>
    <t>08.10.97*</t>
  </si>
  <si>
    <t>4.12.97*</t>
  </si>
  <si>
    <t>20.12.97*</t>
  </si>
  <si>
    <t>7.1.98*</t>
  </si>
  <si>
    <t>2.575*</t>
  </si>
  <si>
    <t>** pH measured with new meter 8.2; with old 8.66</t>
  </si>
  <si>
    <t>Site 15: Frog 5</t>
  </si>
  <si>
    <t>1000 Mg/Ca by weight</t>
  </si>
  <si>
    <t>drips/minute</t>
  </si>
  <si>
    <t>(ppb)</t>
  </si>
  <si>
    <t>03.01.97</t>
  </si>
  <si>
    <t>24.01.97</t>
  </si>
  <si>
    <t>7.43(?)</t>
  </si>
  <si>
    <t>8.2**</t>
  </si>
  <si>
    <t>398*</t>
  </si>
  <si>
    <t>394*</t>
  </si>
  <si>
    <t>384*</t>
  </si>
  <si>
    <t>1.8.98</t>
  </si>
  <si>
    <t>CATOT</t>
  </si>
  <si>
    <t>Mg in calcite increment</t>
  </si>
  <si>
    <t>Changing Mg</t>
  </si>
  <si>
    <t>Sr in calcite increment</t>
  </si>
  <si>
    <t>Changing Sr</t>
  </si>
  <si>
    <t>1000 Sr/Ca</t>
  </si>
  <si>
    <t>Second Mg/Ca</t>
  </si>
  <si>
    <t>Third Mg/Ca</t>
  </si>
  <si>
    <t>Fourth Mg/Ca</t>
  </si>
  <si>
    <t>Second Sr/Ca</t>
  </si>
  <si>
    <t>Third Sr/Ca</t>
  </si>
  <si>
    <t>Ca ppm</t>
  </si>
  <si>
    <t>Ca mmol/l</t>
  </si>
  <si>
    <t>Mg/Ca (molar)</t>
  </si>
  <si>
    <t>1000Sr/Ca (molar)</t>
  </si>
  <si>
    <r>
      <t>Calculations of calcite saturation for 10 degrees C (i.e. with Kcc = 10</t>
    </r>
    <r>
      <rPr>
        <vertAlign val="superscript"/>
        <sz val="10"/>
        <rFont val="Arial"/>
        <family val="2"/>
      </rPr>
      <t>-8.41</t>
    </r>
    <r>
      <rPr>
        <sz val="10"/>
        <rFont val="Arial"/>
        <family val="0"/>
      </rPr>
      <t>)</t>
    </r>
  </si>
  <si>
    <r>
      <t>-logPCO</t>
    </r>
    <r>
      <rPr>
        <vertAlign val="subscript"/>
        <sz val="10"/>
        <rFont val="Arial"/>
        <family val="2"/>
      </rPr>
      <t>2</t>
    </r>
  </si>
  <si>
    <r>
      <t>-logPCO</t>
    </r>
    <r>
      <rPr>
        <b/>
        <vertAlign val="subscript"/>
        <sz val="10"/>
        <rFont val="Arial"/>
        <family val="2"/>
      </rPr>
      <t>2</t>
    </r>
  </si>
  <si>
    <r>
      <t>Driprate L/sec *10</t>
    </r>
    <r>
      <rPr>
        <vertAlign val="superscript"/>
        <sz val="10"/>
        <rFont val="Arial"/>
        <family val="2"/>
      </rPr>
      <t>6</t>
    </r>
  </si>
  <si>
    <r>
      <t>L/sec *10</t>
    </r>
    <r>
      <rPr>
        <vertAlign val="superscript"/>
        <sz val="10"/>
        <rFont val="Arial"/>
        <family val="2"/>
      </rPr>
      <t>6</t>
    </r>
  </si>
  <si>
    <t>cf. Mean composition of BFM rocks</t>
  </si>
  <si>
    <t>Lines for plotting on charts</t>
  </si>
  <si>
    <t>drips/ksec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</si>
</sst>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0.00000"/>
    <numFmt numFmtId="179" formatCode="0.0000"/>
    <numFmt numFmtId="180" formatCode="0.000"/>
    <numFmt numFmtId="181" formatCode="0.0"/>
    <numFmt numFmtId="182" formatCode="mm/dd/yy"/>
    <numFmt numFmtId="183" formatCode="mmmmm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E+00"/>
    <numFmt numFmtId="190" formatCode="&quot;£&quot;#,##0.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8"/>
      <name val="Arial"/>
      <family val="0"/>
    </font>
    <font>
      <sz val="16.55"/>
      <color indexed="8"/>
      <name val="Arial"/>
      <family val="0"/>
    </font>
    <font>
      <sz val="16"/>
      <color indexed="8"/>
      <name val="Arial"/>
      <family val="0"/>
    </font>
    <font>
      <sz val="14"/>
      <color indexed="8"/>
      <name val="Arial"/>
      <family val="0"/>
    </font>
    <font>
      <vertAlign val="subscript"/>
      <sz val="16"/>
      <color indexed="8"/>
      <name val="Arial"/>
      <family val="0"/>
    </font>
    <font>
      <b/>
      <sz val="36"/>
      <color indexed="8"/>
      <name val="Arial"/>
      <family val="0"/>
    </font>
    <font>
      <sz val="14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33" borderId="0" xfId="0" applyFill="1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0" fillId="34" borderId="0" xfId="0" applyFill="1" applyAlignment="1">
      <alignment/>
    </xf>
    <xf numFmtId="186" fontId="0" fillId="0" borderId="0" xfId="0" applyNumberFormat="1" applyAlignment="1">
      <alignment/>
    </xf>
    <xf numFmtId="185" fontId="0" fillId="0" borderId="0" xfId="0" applyNumberFormat="1" applyAlignment="1">
      <alignment/>
    </xf>
    <xf numFmtId="2" fontId="1" fillId="0" borderId="0" xfId="0" applyNumberFormat="1" applyFont="1" applyAlignment="1">
      <alignment wrapText="1"/>
    </xf>
    <xf numFmtId="178" fontId="1" fillId="0" borderId="0" xfId="0" applyNumberFormat="1" applyFont="1" applyAlignment="1">
      <alignment wrapText="1"/>
    </xf>
    <xf numFmtId="179" fontId="1" fillId="0" borderId="0" xfId="0" applyNumberFormat="1" applyFont="1" applyAlignment="1">
      <alignment wrapText="1"/>
    </xf>
    <xf numFmtId="2" fontId="1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75"/>
          <c:y val="0.03775"/>
          <c:w val="0.81825"/>
          <c:h val="0.90725"/>
        </c:manualLayout>
      </c:layout>
      <c:scatterChart>
        <c:scatterStyle val="lineMarker"/>
        <c:varyColors val="0"/>
        <c:ser>
          <c:idx val="2"/>
          <c:order val="0"/>
          <c:tx>
            <c:v>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Boss!$R$8:$R$51</c:f>
              <c:numCache>
                <c:ptCount val="44"/>
                <c:pt idx="17">
                  <c:v>2.703812015802165</c:v>
                </c:pt>
                <c:pt idx="18">
                  <c:v>2.3021308980213093</c:v>
                </c:pt>
                <c:pt idx="19">
                  <c:v>1.9032610013334947</c:v>
                </c:pt>
                <c:pt idx="21">
                  <c:v>2.8935874528489185</c:v>
                </c:pt>
                <c:pt idx="22">
                  <c:v>3.168636522451537</c:v>
                </c:pt>
                <c:pt idx="24">
                  <c:v>3.5304445581260224</c:v>
                </c:pt>
                <c:pt idx="25">
                  <c:v>3.377166135466577</c:v>
                </c:pt>
                <c:pt idx="26">
                  <c:v>4.218664784575406</c:v>
                </c:pt>
                <c:pt idx="27">
                  <c:v>4.010433442593961</c:v>
                </c:pt>
                <c:pt idx="28">
                  <c:v>3.305959519580776</c:v>
                </c:pt>
                <c:pt idx="31">
                  <c:v>3.2400660643155543</c:v>
                </c:pt>
                <c:pt idx="35">
                  <c:v>3.4094368340943686</c:v>
                </c:pt>
                <c:pt idx="36">
                  <c:v>3.809901963564858</c:v>
                </c:pt>
                <c:pt idx="37">
                  <c:v>2.9560201874549388</c:v>
                </c:pt>
                <c:pt idx="38">
                  <c:v>2.7266797129810834</c:v>
                </c:pt>
                <c:pt idx="39">
                  <c:v>3.082191780821918</c:v>
                </c:pt>
                <c:pt idx="40">
                  <c:v>2.399072262085961</c:v>
                </c:pt>
                <c:pt idx="41">
                  <c:v>2.520849843390317</c:v>
                </c:pt>
                <c:pt idx="42">
                  <c:v>2.777521413723241</c:v>
                </c:pt>
              </c:numCache>
            </c:numRef>
          </c:xVal>
          <c:yVal>
            <c:numRef>
              <c:f>Boss!$M$8:$M$51</c:f>
              <c:numCache>
                <c:ptCount val="44"/>
                <c:pt idx="0">
                  <c:v>2.16</c:v>
                </c:pt>
                <c:pt idx="1">
                  <c:v>1.85</c:v>
                </c:pt>
                <c:pt idx="2">
                  <c:v>2.025</c:v>
                </c:pt>
                <c:pt idx="11">
                  <c:v>2.065</c:v>
                </c:pt>
                <c:pt idx="17">
                  <c:v>2.225</c:v>
                </c:pt>
                <c:pt idx="18">
                  <c:v>2.4</c:v>
                </c:pt>
                <c:pt idx="19">
                  <c:v>2.825</c:v>
                </c:pt>
                <c:pt idx="21">
                  <c:v>2.3</c:v>
                </c:pt>
                <c:pt idx="22">
                  <c:v>1.895</c:v>
                </c:pt>
                <c:pt idx="24">
                  <c:v>1.8074999999999999</c:v>
                </c:pt>
                <c:pt idx="25">
                  <c:v>1.6225</c:v>
                </c:pt>
                <c:pt idx="26">
                  <c:v>2.1350000000000002</c:v>
                </c:pt>
                <c:pt idx="27">
                  <c:v>1.8074999999999999</c:v>
                </c:pt>
                <c:pt idx="28">
                  <c:v>1.9475000000000002</c:v>
                </c:pt>
                <c:pt idx="31">
                  <c:v>2.35</c:v>
                </c:pt>
                <c:pt idx="35">
                  <c:v>2.25</c:v>
                </c:pt>
                <c:pt idx="36">
                  <c:v>2.415</c:v>
                </c:pt>
                <c:pt idx="37">
                  <c:v>2.375</c:v>
                </c:pt>
                <c:pt idx="38">
                  <c:v>2.625</c:v>
                </c:pt>
                <c:pt idx="39">
                  <c:v>2.6</c:v>
                </c:pt>
                <c:pt idx="40">
                  <c:v>3.15</c:v>
                </c:pt>
                <c:pt idx="41">
                  <c:v>3.025</c:v>
                </c:pt>
                <c:pt idx="42">
                  <c:v>2.5975</c:v>
                </c:pt>
              </c:numCache>
            </c:numRef>
          </c:yVal>
          <c:smooth val="0"/>
        </c:ser>
        <c:ser>
          <c:idx val="3"/>
          <c:order val="1"/>
          <c:tx>
            <c:v>F5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Frog5!$T$8:$T$48</c:f>
              <c:numCache>
                <c:ptCount val="41"/>
                <c:pt idx="13">
                  <c:v>2.545908478696495</c:v>
                </c:pt>
                <c:pt idx="14">
                  <c:v>3.6366601435094594</c:v>
                </c:pt>
                <c:pt idx="15">
                  <c:v>3.667697746354397</c:v>
                </c:pt>
                <c:pt idx="17">
                  <c:v>3.9076220583069903</c:v>
                </c:pt>
                <c:pt idx="18">
                  <c:v>3.6360561474716726</c:v>
                </c:pt>
                <c:pt idx="20">
                  <c:v>2.990867579908676</c:v>
                </c:pt>
                <c:pt idx="21">
                  <c:v>3.4847392453737083</c:v>
                </c:pt>
                <c:pt idx="22">
                  <c:v>3.8643666497547775</c:v>
                </c:pt>
                <c:pt idx="24">
                  <c:v>4.994874662193645</c:v>
                </c:pt>
                <c:pt idx="25">
                  <c:v>3.3843674456083805</c:v>
                </c:pt>
                <c:pt idx="28">
                  <c:v>4.446046623407835</c:v>
                </c:pt>
                <c:pt idx="32">
                  <c:v>2.8329139875128133</c:v>
                </c:pt>
                <c:pt idx="35">
                  <c:v>3.8131859328687017</c:v>
                </c:pt>
                <c:pt idx="39">
                  <c:v>3.375024816358944</c:v>
                </c:pt>
                <c:pt idx="40">
                  <c:v>3.181617322138754</c:v>
                </c:pt>
              </c:numCache>
            </c:numRef>
          </c:xVal>
          <c:yVal>
            <c:numRef>
              <c:f>Frog5!$M$8:$M$48</c:f>
              <c:numCache>
                <c:ptCount val="41"/>
                <c:pt idx="13">
                  <c:v>2.085</c:v>
                </c:pt>
                <c:pt idx="14">
                  <c:v>1.4</c:v>
                </c:pt>
                <c:pt idx="15">
                  <c:v>1.55</c:v>
                </c:pt>
                <c:pt idx="17">
                  <c:v>1.3</c:v>
                </c:pt>
                <c:pt idx="18">
                  <c:v>1.35</c:v>
                </c:pt>
                <c:pt idx="19">
                  <c:v>1.525</c:v>
                </c:pt>
                <c:pt idx="20">
                  <c:v>1.5</c:v>
                </c:pt>
                <c:pt idx="21">
                  <c:v>1.425</c:v>
                </c:pt>
                <c:pt idx="22">
                  <c:v>1.35</c:v>
                </c:pt>
                <c:pt idx="23">
                  <c:v>1.6</c:v>
                </c:pt>
                <c:pt idx="24">
                  <c:v>1.225</c:v>
                </c:pt>
                <c:pt idx="25">
                  <c:v>1.275</c:v>
                </c:pt>
                <c:pt idx="28">
                  <c:v>0.95</c:v>
                </c:pt>
                <c:pt idx="29">
                  <c:v>1.125</c:v>
                </c:pt>
                <c:pt idx="30">
                  <c:v>1.475</c:v>
                </c:pt>
                <c:pt idx="31">
                  <c:v>1.45</c:v>
                </c:pt>
                <c:pt idx="32">
                  <c:v>1.225</c:v>
                </c:pt>
                <c:pt idx="34">
                  <c:v>1.4</c:v>
                </c:pt>
                <c:pt idx="35">
                  <c:v>1.425</c:v>
                </c:pt>
                <c:pt idx="36">
                  <c:v>1.25</c:v>
                </c:pt>
                <c:pt idx="37">
                  <c:v>1.275</c:v>
                </c:pt>
                <c:pt idx="38">
                  <c:v>1.8</c:v>
                </c:pt>
                <c:pt idx="39">
                  <c:v>1.725</c:v>
                </c:pt>
                <c:pt idx="40">
                  <c:v>1.55</c:v>
                </c:pt>
              </c:numCache>
            </c:numRef>
          </c:yVal>
          <c:smooth val="0"/>
        </c:ser>
        <c:ser>
          <c:idx val="1"/>
          <c:order val="2"/>
          <c:tx>
            <c:v>F3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Frog3!$T$8:$T$50</c:f>
              <c:numCache>
                <c:ptCount val="43"/>
                <c:pt idx="13">
                  <c:v>0.8539784319440397</c:v>
                </c:pt>
                <c:pt idx="15">
                  <c:v>0.7962600565340291</c:v>
                </c:pt>
                <c:pt idx="17">
                  <c:v>0.7778485717319742</c:v>
                </c:pt>
                <c:pt idx="18">
                  <c:v>0.9390510224339885</c:v>
                </c:pt>
                <c:pt idx="19">
                  <c:v>0.8267526188557616</c:v>
                </c:pt>
                <c:pt idx="22">
                  <c:v>1.0668140958699348</c:v>
                </c:pt>
                <c:pt idx="23">
                  <c:v>1.1583477667558917</c:v>
                </c:pt>
                <c:pt idx="25">
                  <c:v>0.9044396765142763</c:v>
                </c:pt>
                <c:pt idx="27">
                  <c:v>3.3364581128347806</c:v>
                </c:pt>
                <c:pt idx="28">
                  <c:v>3.3444123463692934</c:v>
                </c:pt>
                <c:pt idx="29">
                  <c:v>4.775265445343016</c:v>
                </c:pt>
                <c:pt idx="30">
                  <c:v>4.710992315402607</c:v>
                </c:pt>
                <c:pt idx="31">
                  <c:v>4.202069244552337</c:v>
                </c:pt>
                <c:pt idx="32">
                  <c:v>2.7859661291254842</c:v>
                </c:pt>
                <c:pt idx="34">
                  <c:v>2.0819743422483152</c:v>
                </c:pt>
              </c:numCache>
            </c:numRef>
          </c:xVal>
          <c:yVal>
            <c:numRef>
              <c:f>Frog3!$M$8:$M$50</c:f>
              <c:numCache>
                <c:ptCount val="43"/>
                <c:pt idx="13">
                  <c:v>2.35</c:v>
                </c:pt>
                <c:pt idx="15">
                  <c:v>2.625</c:v>
                </c:pt>
                <c:pt idx="17">
                  <c:v>2.15</c:v>
                </c:pt>
                <c:pt idx="18">
                  <c:v>2.3</c:v>
                </c:pt>
                <c:pt idx="19">
                  <c:v>2.125</c:v>
                </c:pt>
                <c:pt idx="22">
                  <c:v>2.23</c:v>
                </c:pt>
                <c:pt idx="23">
                  <c:v>2.175</c:v>
                </c:pt>
                <c:pt idx="25">
                  <c:v>2.075</c:v>
                </c:pt>
                <c:pt idx="27">
                  <c:v>2.2649999999999997</c:v>
                </c:pt>
                <c:pt idx="28">
                  <c:v>2.205</c:v>
                </c:pt>
                <c:pt idx="29">
                  <c:v>2.075</c:v>
                </c:pt>
                <c:pt idx="30">
                  <c:v>2.05</c:v>
                </c:pt>
                <c:pt idx="31">
                  <c:v>1.975</c:v>
                </c:pt>
                <c:pt idx="32">
                  <c:v>1.975</c:v>
                </c:pt>
                <c:pt idx="34">
                  <c:v>2.1</c:v>
                </c:pt>
                <c:pt idx="39">
                  <c:v>2.225</c:v>
                </c:pt>
              </c:numCache>
            </c:numRef>
          </c:yVal>
          <c:smooth val="0"/>
        </c:ser>
        <c:ser>
          <c:idx val="7"/>
          <c:order val="3"/>
          <c:tx>
            <c:v>Equilibrium -logPCO2 values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3.0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2.0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1.2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'cc sat'!$F$16:$F$21</c:f>
              <c:numCache>
                <c:ptCount val="6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</c:numCache>
            </c:numRef>
          </c:xVal>
          <c:yVal>
            <c:numRef>
              <c:f>'cc sat'!$H$16:$H$21</c:f>
              <c:numCache>
                <c:ptCount val="6"/>
                <c:pt idx="0">
                  <c:v>0.5160465625000029</c:v>
                </c:pt>
                <c:pt idx="1">
                  <c:v>0.7802275000000009</c:v>
                </c:pt>
                <c:pt idx="2">
                  <c:v>1.1566796875000023</c:v>
                </c:pt>
                <c:pt idx="3">
                  <c:v>1.7494600000000005</c:v>
                </c:pt>
                <c:pt idx="4">
                  <c:v>2.6626253125000003</c:v>
                </c:pt>
                <c:pt idx="5">
                  <c:v>3.4075969600000016</c:v>
                </c:pt>
              </c:numCache>
            </c:numRef>
          </c:yVal>
          <c:smooth val="0"/>
        </c:ser>
        <c:ser>
          <c:idx val="6"/>
          <c:order val="4"/>
          <c:tx>
            <c:v>Calcite precipitation guidelines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'[1]Pptnlines'!$P$2:$P$19</c:f>
              <c:numCache>
                <c:ptCount val="18"/>
                <c:pt idx="0">
                  <c:v>2.857142857142857</c:v>
                </c:pt>
                <c:pt idx="1">
                  <c:v>2.9327731092436977</c:v>
                </c:pt>
                <c:pt idx="2">
                  <c:v>3.0127578304048894</c:v>
                </c:pt>
                <c:pt idx="3">
                  <c:v>3.0974916443850273</c:v>
                </c:pt>
                <c:pt idx="4">
                  <c:v>3.1874188211574954</c:v>
                </c:pt>
                <c:pt idx="5">
                  <c:v>3.2830413857922207</c:v>
                </c:pt>
                <c:pt idx="6">
                  <c:v>3.3849288770754273</c:v>
                </c:pt>
                <c:pt idx="7">
                  <c:v>3.4937301624099946</c:v>
                </c:pt>
                <c:pt idx="8">
                  <c:v>3.610187834490328</c:v>
                </c:pt>
                <c:pt idx="9">
                  <c:v>3.735155874914994</c:v>
                </c:pt>
                <c:pt idx="10">
                  <c:v>3.8696214864119334</c:v>
                </c:pt>
                <c:pt idx="11">
                  <c:v>4.014732292152381</c:v>
                </c:pt>
                <c:pt idx="12">
                  <c:v>4.171830512280083</c:v>
                </c:pt>
                <c:pt idx="13">
                  <c:v>4.342496305964268</c:v>
                </c:pt>
                <c:pt idx="14">
                  <c:v>4.528603290505594</c:v>
                </c:pt>
                <c:pt idx="15">
                  <c:v>4.732390438578347</c:v>
                </c:pt>
                <c:pt idx="16">
                  <c:v>4.956556301458374</c:v>
                </c:pt>
                <c:pt idx="17">
                  <c:v>5.204384116531293</c:v>
                </c:pt>
              </c:numCache>
            </c:numRef>
          </c:xVal>
          <c:yVal>
            <c:numRef>
              <c:f>'[1]Pptnlines'!$R$2:$R$19</c:f>
              <c:numCache>
                <c:ptCount val="18"/>
                <c:pt idx="0">
                  <c:v>3.5</c:v>
                </c:pt>
                <c:pt idx="1">
                  <c:v>3.4</c:v>
                </c:pt>
                <c:pt idx="2">
                  <c:v>3.3</c:v>
                </c:pt>
                <c:pt idx="3">
                  <c:v>3.1999999999999997</c:v>
                </c:pt>
                <c:pt idx="4">
                  <c:v>3.0999999999999996</c:v>
                </c:pt>
                <c:pt idx="5">
                  <c:v>2.9999999999999996</c:v>
                </c:pt>
                <c:pt idx="6">
                  <c:v>2.8999999999999995</c:v>
                </c:pt>
                <c:pt idx="7">
                  <c:v>2.7999999999999994</c:v>
                </c:pt>
                <c:pt idx="8">
                  <c:v>2.6999999999999993</c:v>
                </c:pt>
                <c:pt idx="9">
                  <c:v>2.599999999999999</c:v>
                </c:pt>
                <c:pt idx="10">
                  <c:v>2.499999999999999</c:v>
                </c:pt>
                <c:pt idx="11">
                  <c:v>2.399999999999999</c:v>
                </c:pt>
                <c:pt idx="12">
                  <c:v>2.299999999999999</c:v>
                </c:pt>
                <c:pt idx="13">
                  <c:v>2.199999999999999</c:v>
                </c:pt>
                <c:pt idx="14">
                  <c:v>2.0999999999999988</c:v>
                </c:pt>
                <c:pt idx="15">
                  <c:v>1.9999999999999987</c:v>
                </c:pt>
                <c:pt idx="16">
                  <c:v>1.8999999999999986</c:v>
                </c:pt>
                <c:pt idx="17">
                  <c:v>1.7999999999999985</c:v>
                </c:pt>
              </c:numCache>
            </c:numRef>
          </c:yVal>
          <c:smooth val="0"/>
        </c:ser>
        <c:ser>
          <c:idx val="0"/>
          <c:order val="5"/>
          <c:tx>
            <c:v>Calcite precipitation line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'[1]Pptnlines'!$G$6:$G$27</c:f>
              <c:numCache>
                <c:ptCount val="22"/>
                <c:pt idx="0">
                  <c:v>1.5937094105787477</c:v>
                </c:pt>
                <c:pt idx="1">
                  <c:v>1.6415206928961104</c:v>
                </c:pt>
                <c:pt idx="2">
                  <c:v>1.6924644385377137</c:v>
                </c:pt>
                <c:pt idx="3">
                  <c:v>1.7468650812049973</c:v>
                </c:pt>
                <c:pt idx="4">
                  <c:v>1.805093917245164</c:v>
                </c:pt>
                <c:pt idx="5">
                  <c:v>1.867577937457497</c:v>
                </c:pt>
                <c:pt idx="6">
                  <c:v>1.9348107432059667</c:v>
                </c:pt>
                <c:pt idx="7">
                  <c:v>2.0073661460761905</c:v>
                </c:pt>
                <c:pt idx="8">
                  <c:v>2.0859152561400416</c:v>
                </c:pt>
                <c:pt idx="9">
                  <c:v>2.171248152982134</c:v>
                </c:pt>
                <c:pt idx="10">
                  <c:v>2.264301645252797</c:v>
                </c:pt>
                <c:pt idx="11">
                  <c:v>2.3661952192891733</c:v>
                </c:pt>
                <c:pt idx="12">
                  <c:v>2.478278150729187</c:v>
                </c:pt>
                <c:pt idx="13">
                  <c:v>2.6021920582656466</c:v>
                </c:pt>
                <c:pt idx="14">
                  <c:v>2.739955167232652</c:v>
                </c:pt>
                <c:pt idx="15">
                  <c:v>2.8940776453894883</c:v>
                </c:pt>
                <c:pt idx="16">
                  <c:v>3.0677223041128583</c:v>
                </c:pt>
                <c:pt idx="17">
                  <c:v>3.2649330236629703</c:v>
                </c:pt>
                <c:pt idx="18">
                  <c:v>3.4909668483781</c:v>
                </c:pt>
                <c:pt idx="19">
                  <c:v>3.752789362006458</c:v>
                </c:pt>
                <c:pt idx="20">
                  <c:v>4.059835764352441</c:v>
                </c:pt>
                <c:pt idx="21">
                  <c:v>4.425220983144162</c:v>
                </c:pt>
              </c:numCache>
            </c:numRef>
          </c:xVal>
          <c:yVal>
            <c:numRef>
              <c:f>'[1]Pptnlines'!$R$6:$R$27</c:f>
              <c:numCache>
                <c:ptCount val="22"/>
                <c:pt idx="0">
                  <c:v>3.0999999999999996</c:v>
                </c:pt>
                <c:pt idx="1">
                  <c:v>2.9999999999999996</c:v>
                </c:pt>
                <c:pt idx="2">
                  <c:v>2.8999999999999995</c:v>
                </c:pt>
                <c:pt idx="3">
                  <c:v>2.7999999999999994</c:v>
                </c:pt>
                <c:pt idx="4">
                  <c:v>2.6999999999999993</c:v>
                </c:pt>
                <c:pt idx="5">
                  <c:v>2.599999999999999</c:v>
                </c:pt>
                <c:pt idx="6">
                  <c:v>2.499999999999999</c:v>
                </c:pt>
                <c:pt idx="7">
                  <c:v>2.399999999999999</c:v>
                </c:pt>
                <c:pt idx="8">
                  <c:v>2.299999999999999</c:v>
                </c:pt>
                <c:pt idx="9">
                  <c:v>2.199999999999999</c:v>
                </c:pt>
                <c:pt idx="10">
                  <c:v>2.0999999999999988</c:v>
                </c:pt>
                <c:pt idx="11">
                  <c:v>1.9999999999999987</c:v>
                </c:pt>
                <c:pt idx="12">
                  <c:v>1.8999999999999986</c:v>
                </c:pt>
                <c:pt idx="13">
                  <c:v>1.7999999999999985</c:v>
                </c:pt>
                <c:pt idx="14">
                  <c:v>1.6999999999999984</c:v>
                </c:pt>
                <c:pt idx="15">
                  <c:v>1.5999999999999983</c:v>
                </c:pt>
                <c:pt idx="16">
                  <c:v>1.4999999999999982</c:v>
                </c:pt>
                <c:pt idx="17">
                  <c:v>1.3999999999999981</c:v>
                </c:pt>
                <c:pt idx="18">
                  <c:v>1.299999999999998</c:v>
                </c:pt>
                <c:pt idx="19">
                  <c:v>1.199999999999998</c:v>
                </c:pt>
                <c:pt idx="20">
                  <c:v>1.0999999999999979</c:v>
                </c:pt>
                <c:pt idx="21">
                  <c:v>0.9999999999999979</c:v>
                </c:pt>
              </c:numCache>
            </c:numRef>
          </c:yVal>
          <c:smooth val="0"/>
        </c:ser>
        <c:axId val="53583286"/>
        <c:axId val="12487527"/>
      </c:scatterChart>
      <c:valAx>
        <c:axId val="53583286"/>
        <c:scaling>
          <c:orientation val="minMax"/>
          <c:max val="5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Sr/Ca (molar ratio)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2487527"/>
        <c:crosses val="autoZero"/>
        <c:crossBetween val="midCat"/>
        <c:dispUnits/>
        <c:majorUnit val="1"/>
        <c:minorUnit val="0.2"/>
      </c:valAx>
      <c:valAx>
        <c:axId val="12487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 (mmol/L)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58328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805"/>
          <c:y val="0.69725"/>
          <c:w val="0.20325"/>
          <c:h val="0.1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3425"/>
          <c:w val="0.81725"/>
          <c:h val="0.9075"/>
        </c:manualLayout>
      </c:layout>
      <c:scatterChart>
        <c:scatterStyle val="lineMarker"/>
        <c:varyColors val="0"/>
        <c:ser>
          <c:idx val="4"/>
          <c:order val="0"/>
          <c:tx>
            <c:v>Equilibrium -logPCO2 values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3.0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2.0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1.2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'[1]cc sat'!$E$16:$E$21</c:f>
              <c:numCache>
                <c:ptCount val="6"/>
                <c:pt idx="0">
                  <c:v>0.0079</c:v>
                </c:pt>
                <c:pt idx="1">
                  <c:v>0.0079</c:v>
                </c:pt>
                <c:pt idx="2">
                  <c:v>0.0079</c:v>
                </c:pt>
                <c:pt idx="3">
                  <c:v>0.0079</c:v>
                </c:pt>
                <c:pt idx="4">
                  <c:v>0.0079</c:v>
                </c:pt>
                <c:pt idx="5">
                  <c:v>0.0079</c:v>
                </c:pt>
              </c:numCache>
            </c:numRef>
          </c:xVal>
          <c:yVal>
            <c:numRef>
              <c:f>'[1]cc sat'!$H$16:$H$21</c:f>
              <c:numCache>
                <c:ptCount val="6"/>
                <c:pt idx="0">
                  <c:v>0.5160465625000029</c:v>
                </c:pt>
                <c:pt idx="1">
                  <c:v>0.7802275000000009</c:v>
                </c:pt>
                <c:pt idx="2">
                  <c:v>1.1566796875000023</c:v>
                </c:pt>
                <c:pt idx="3">
                  <c:v>1.7494600000000005</c:v>
                </c:pt>
                <c:pt idx="4">
                  <c:v>2.6626253125000003</c:v>
                </c:pt>
                <c:pt idx="5">
                  <c:v>3.4075969600000016</c:v>
                </c:pt>
              </c:numCache>
            </c:numRef>
          </c:yVal>
          <c:smooth val="0"/>
        </c:ser>
        <c:ser>
          <c:idx val="3"/>
          <c:order val="1"/>
          <c:tx>
            <c:v>drip F5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Frog5!$Q$8:$Q$48</c:f>
              <c:numCache>
                <c:ptCount val="41"/>
                <c:pt idx="13">
                  <c:v>0.06710680838045613</c:v>
                </c:pt>
                <c:pt idx="14">
                  <c:v>0.13815402704291593</c:v>
                </c:pt>
                <c:pt idx="15">
                  <c:v>0.132749236691889</c:v>
                </c:pt>
                <c:pt idx="17">
                  <c:v>0.1456157011712567</c:v>
                </c:pt>
                <c:pt idx="18">
                  <c:v>0.13107757963725042</c:v>
                </c:pt>
                <c:pt idx="19">
                  <c:v>0.09984483572826014</c:v>
                </c:pt>
                <c:pt idx="20">
                  <c:v>0.09327846364883402</c:v>
                </c:pt>
                <c:pt idx="21">
                  <c:v>0.18771207855028518</c:v>
                </c:pt>
                <c:pt idx="22">
                  <c:v>0.12802926383173296</c:v>
                </c:pt>
                <c:pt idx="23">
                  <c:v>0.12088477366255145</c:v>
                </c:pt>
                <c:pt idx="24">
                  <c:v>0.1545309481817418</c:v>
                </c:pt>
                <c:pt idx="25">
                  <c:v>0.1355603969983055</c:v>
                </c:pt>
                <c:pt idx="28">
                  <c:v>0.20359540827377087</c:v>
                </c:pt>
                <c:pt idx="29">
                  <c:v>0.21582075903063558</c:v>
                </c:pt>
                <c:pt idx="30">
                  <c:v>0.11717932621887422</c:v>
                </c:pt>
                <c:pt idx="31">
                  <c:v>0.11636157230026961</c:v>
                </c:pt>
                <c:pt idx="32">
                  <c:v>0.10414042160073905</c:v>
                </c:pt>
                <c:pt idx="34">
                  <c:v>0.17048794826572605</c:v>
                </c:pt>
                <c:pt idx="35">
                  <c:v>0.12129088152479964</c:v>
                </c:pt>
                <c:pt idx="36">
                  <c:v>0.10864197530864197</c:v>
                </c:pt>
                <c:pt idx="37">
                  <c:v>0.10328411199870896</c:v>
                </c:pt>
                <c:pt idx="38">
                  <c:v>0.08459076360310928</c:v>
                </c:pt>
                <c:pt idx="39">
                  <c:v>0.07872606906423331</c:v>
                </c:pt>
                <c:pt idx="40">
                  <c:v>0.07699455728129563</c:v>
                </c:pt>
              </c:numCache>
            </c:numRef>
          </c:xVal>
          <c:yVal>
            <c:numRef>
              <c:f>Frog5!$M$8:$M$48</c:f>
              <c:numCache>
                <c:ptCount val="41"/>
                <c:pt idx="13">
                  <c:v>2.085</c:v>
                </c:pt>
                <c:pt idx="14">
                  <c:v>1.4</c:v>
                </c:pt>
                <c:pt idx="15">
                  <c:v>1.55</c:v>
                </c:pt>
                <c:pt idx="17">
                  <c:v>1.3</c:v>
                </c:pt>
                <c:pt idx="18">
                  <c:v>1.35</c:v>
                </c:pt>
                <c:pt idx="19">
                  <c:v>1.525</c:v>
                </c:pt>
                <c:pt idx="20">
                  <c:v>1.5</c:v>
                </c:pt>
                <c:pt idx="21">
                  <c:v>1.425</c:v>
                </c:pt>
                <c:pt idx="22">
                  <c:v>1.35</c:v>
                </c:pt>
                <c:pt idx="23">
                  <c:v>1.6</c:v>
                </c:pt>
                <c:pt idx="24">
                  <c:v>1.225</c:v>
                </c:pt>
                <c:pt idx="25">
                  <c:v>1.275</c:v>
                </c:pt>
                <c:pt idx="28">
                  <c:v>0.95</c:v>
                </c:pt>
                <c:pt idx="29">
                  <c:v>1.125</c:v>
                </c:pt>
                <c:pt idx="30">
                  <c:v>1.475</c:v>
                </c:pt>
                <c:pt idx="31">
                  <c:v>1.45</c:v>
                </c:pt>
                <c:pt idx="32">
                  <c:v>1.225</c:v>
                </c:pt>
                <c:pt idx="34">
                  <c:v>1.4</c:v>
                </c:pt>
                <c:pt idx="35">
                  <c:v>1.425</c:v>
                </c:pt>
                <c:pt idx="36">
                  <c:v>1.25</c:v>
                </c:pt>
                <c:pt idx="37">
                  <c:v>1.275</c:v>
                </c:pt>
                <c:pt idx="38">
                  <c:v>1.8</c:v>
                </c:pt>
                <c:pt idx="39">
                  <c:v>1.725</c:v>
                </c:pt>
                <c:pt idx="40">
                  <c:v>1.55</c:v>
                </c:pt>
              </c:numCache>
            </c:numRef>
          </c:yVal>
          <c:smooth val="0"/>
        </c:ser>
        <c:ser>
          <c:idx val="1"/>
          <c:order val="2"/>
          <c:tx>
            <c:v>drip F3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Frog3!$Q$8:$Q$50</c:f>
              <c:numCache>
                <c:ptCount val="43"/>
                <c:pt idx="13">
                  <c:v>0.08930916732335172</c:v>
                </c:pt>
                <c:pt idx="15">
                  <c:v>0.07838526357044875</c:v>
                </c:pt>
                <c:pt idx="17">
                  <c:v>0.09572093023255815</c:v>
                </c:pt>
                <c:pt idx="18">
                  <c:v>0.09840758633029165</c:v>
                </c:pt>
                <c:pt idx="19">
                  <c:v>0.09489227789881384</c:v>
                </c:pt>
                <c:pt idx="22">
                  <c:v>0.08520179372197309</c:v>
                </c:pt>
                <c:pt idx="23">
                  <c:v>0.08703467196442931</c:v>
                </c:pt>
                <c:pt idx="25">
                  <c:v>0.09717883881203827</c:v>
                </c:pt>
                <c:pt idx="27">
                  <c:v>0.09447760244915017</c:v>
                </c:pt>
                <c:pt idx="28">
                  <c:v>0.08771684256693076</c:v>
                </c:pt>
                <c:pt idx="29">
                  <c:v>0.09717883881203827</c:v>
                </c:pt>
                <c:pt idx="30">
                  <c:v>0.09836394660242899</c:v>
                </c:pt>
                <c:pt idx="31">
                  <c:v>0.10835026306193675</c:v>
                </c:pt>
                <c:pt idx="32">
                  <c:v>0.10209928634682502</c:v>
                </c:pt>
                <c:pt idx="34">
                  <c:v>0.09798157946306095</c:v>
                </c:pt>
              </c:numCache>
            </c:numRef>
          </c:xVal>
          <c:yVal>
            <c:numRef>
              <c:f>Frog3!$M$8:$M$50</c:f>
              <c:numCache>
                <c:ptCount val="43"/>
                <c:pt idx="13">
                  <c:v>2.35</c:v>
                </c:pt>
                <c:pt idx="15">
                  <c:v>2.625</c:v>
                </c:pt>
                <c:pt idx="17">
                  <c:v>2.15</c:v>
                </c:pt>
                <c:pt idx="18">
                  <c:v>2.3</c:v>
                </c:pt>
                <c:pt idx="19">
                  <c:v>2.125</c:v>
                </c:pt>
                <c:pt idx="22">
                  <c:v>2.23</c:v>
                </c:pt>
                <c:pt idx="23">
                  <c:v>2.175</c:v>
                </c:pt>
                <c:pt idx="25">
                  <c:v>2.075</c:v>
                </c:pt>
                <c:pt idx="27">
                  <c:v>2.2649999999999997</c:v>
                </c:pt>
                <c:pt idx="28">
                  <c:v>2.205</c:v>
                </c:pt>
                <c:pt idx="29">
                  <c:v>2.075</c:v>
                </c:pt>
                <c:pt idx="30">
                  <c:v>2.05</c:v>
                </c:pt>
                <c:pt idx="31">
                  <c:v>1.975</c:v>
                </c:pt>
                <c:pt idx="32">
                  <c:v>1.975</c:v>
                </c:pt>
                <c:pt idx="34">
                  <c:v>2.1</c:v>
                </c:pt>
                <c:pt idx="39">
                  <c:v>2.225</c:v>
                </c:pt>
              </c:numCache>
            </c:numRef>
          </c:yVal>
          <c:smooth val="0"/>
        </c:ser>
        <c:ser>
          <c:idx val="2"/>
          <c:order val="3"/>
          <c:tx>
            <c:v>drip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Boss!$Q$8:$Q$51</c:f>
              <c:numCache>
                <c:ptCount val="44"/>
                <c:pt idx="0">
                  <c:v>0.16666666666666666</c:v>
                </c:pt>
                <c:pt idx="1">
                  <c:v>0.254054054054054</c:v>
                </c:pt>
                <c:pt idx="2">
                  <c:v>0.20246913580246914</c:v>
                </c:pt>
                <c:pt idx="17">
                  <c:v>0.27730337078651685</c:v>
                </c:pt>
                <c:pt idx="18">
                  <c:v>0.1697530864197531</c:v>
                </c:pt>
                <c:pt idx="19">
                  <c:v>0.07429258166721292</c:v>
                </c:pt>
                <c:pt idx="21">
                  <c:v>0.15387368044372876</c:v>
                </c:pt>
                <c:pt idx="22">
                  <c:v>0.2388785736777528</c:v>
                </c:pt>
                <c:pt idx="24">
                  <c:v>0.2663797961170022</c:v>
                </c:pt>
                <c:pt idx="25">
                  <c:v>0.2891437919686507</c:v>
                </c:pt>
                <c:pt idx="26">
                  <c:v>0.3199660758859301</c:v>
                </c:pt>
                <c:pt idx="27">
                  <c:v>0.30508455281776325</c:v>
                </c:pt>
                <c:pt idx="28">
                  <c:v>0.24723054248086337</c:v>
                </c:pt>
                <c:pt idx="31">
                  <c:v>0.18387181507748881</c:v>
                </c:pt>
                <c:pt idx="35">
                  <c:v>0.16643804298125284</c:v>
                </c:pt>
                <c:pt idx="36">
                  <c:v>0.25390009286949705</c:v>
                </c:pt>
                <c:pt idx="37">
                  <c:v>0.1680745072557938</c:v>
                </c:pt>
                <c:pt idx="38">
                  <c:v>0.1567705271408975</c:v>
                </c:pt>
                <c:pt idx="39">
                  <c:v>0.1282051282051282</c:v>
                </c:pt>
                <c:pt idx="40">
                  <c:v>0.09536873734404598</c:v>
                </c:pt>
                <c:pt idx="41">
                  <c:v>0.10066999965989866</c:v>
                </c:pt>
                <c:pt idx="42">
                  <c:v>0.09505816371392245</c:v>
                </c:pt>
              </c:numCache>
            </c:numRef>
          </c:xVal>
          <c:yVal>
            <c:numRef>
              <c:f>Boss!$M$8:$M$51</c:f>
              <c:numCache>
                <c:ptCount val="44"/>
                <c:pt idx="0">
                  <c:v>2.16</c:v>
                </c:pt>
                <c:pt idx="1">
                  <c:v>1.85</c:v>
                </c:pt>
                <c:pt idx="2">
                  <c:v>2.025</c:v>
                </c:pt>
                <c:pt idx="11">
                  <c:v>2.065</c:v>
                </c:pt>
                <c:pt idx="17">
                  <c:v>2.225</c:v>
                </c:pt>
                <c:pt idx="18">
                  <c:v>2.4</c:v>
                </c:pt>
                <c:pt idx="19">
                  <c:v>2.825</c:v>
                </c:pt>
                <c:pt idx="21">
                  <c:v>2.3</c:v>
                </c:pt>
                <c:pt idx="22">
                  <c:v>1.895</c:v>
                </c:pt>
                <c:pt idx="24">
                  <c:v>1.8074999999999999</c:v>
                </c:pt>
                <c:pt idx="25">
                  <c:v>1.6225</c:v>
                </c:pt>
                <c:pt idx="26">
                  <c:v>2.1350000000000002</c:v>
                </c:pt>
                <c:pt idx="27">
                  <c:v>1.8074999999999999</c:v>
                </c:pt>
                <c:pt idx="28">
                  <c:v>1.9475000000000002</c:v>
                </c:pt>
                <c:pt idx="31">
                  <c:v>2.35</c:v>
                </c:pt>
                <c:pt idx="35">
                  <c:v>2.25</c:v>
                </c:pt>
                <c:pt idx="36">
                  <c:v>2.415</c:v>
                </c:pt>
                <c:pt idx="37">
                  <c:v>2.375</c:v>
                </c:pt>
                <c:pt idx="38">
                  <c:v>2.625</c:v>
                </c:pt>
                <c:pt idx="39">
                  <c:v>2.6</c:v>
                </c:pt>
                <c:pt idx="40">
                  <c:v>3.15</c:v>
                </c:pt>
                <c:pt idx="41">
                  <c:v>3.025</c:v>
                </c:pt>
                <c:pt idx="42">
                  <c:v>2.5975</c:v>
                </c:pt>
              </c:numCache>
            </c:numRef>
          </c:yVal>
          <c:smooth val="0"/>
        </c:ser>
        <c:ser>
          <c:idx val="0"/>
          <c:order val="4"/>
          <c:tx>
            <c:v>Calcite precipitation line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'[1]Pptnlines'!$F$2:$F$27</c:f>
              <c:numCache>
                <c:ptCount val="26"/>
                <c:pt idx="0">
                  <c:v>0.05714285714285715</c:v>
                </c:pt>
                <c:pt idx="1">
                  <c:v>0.058756302521008406</c:v>
                </c:pt>
                <c:pt idx="2">
                  <c:v>0.060465576776165014</c:v>
                </c:pt>
                <c:pt idx="3">
                  <c:v>0.06227954407944997</c:v>
                </c:pt>
                <c:pt idx="4">
                  <c:v>0.06420820092836198</c:v>
                </c:pt>
                <c:pt idx="5">
                  <c:v>0.06626286335806957</c:v>
                </c:pt>
                <c:pt idx="6">
                  <c:v>0.06845639262785394</c:v>
                </c:pt>
                <c:pt idx="7">
                  <c:v>0.07080346894652322</c:v>
                </c:pt>
                <c:pt idx="8">
                  <c:v>0.07332092562017738</c:v>
                </c:pt>
                <c:pt idx="9">
                  <c:v>0.07602815979692239</c:v>
                </c:pt>
                <c:pt idx="10">
                  <c:v>0.0789476411331242</c:v>
                </c:pt>
                <c:pt idx="11">
                  <c:v>0.08210554677844918</c:v>
                </c:pt>
                <c:pt idx="12">
                  <c:v>0.08553256090485403</c:v>
                </c:pt>
                <c:pt idx="13">
                  <c:v>0.08926489083524766</c:v>
                </c:pt>
                <c:pt idx="14">
                  <c:v>0.0933455715591447</c:v>
                </c:pt>
                <c:pt idx="15">
                  <c:v>0.09782615899398367</c:v>
                </c:pt>
                <c:pt idx="16">
                  <c:v>0.10276895439578494</c:v>
                </c:pt>
                <c:pt idx="17">
                  <c:v>0.10824996529689349</c:v>
                </c:pt>
                <c:pt idx="18">
                  <c:v>0.11436290451365924</c:v>
                </c:pt>
                <c:pt idx="19">
                  <c:v>0.1212246787844788</c:v>
                </c:pt>
                <c:pt idx="20">
                  <c:v>0.1289830582266855</c:v>
                </c:pt>
                <c:pt idx="21">
                  <c:v>0.13782761079080105</c:v>
                </c:pt>
                <c:pt idx="22">
                  <c:v>0.1480056497415064</c:v>
                </c:pt>
                <c:pt idx="23">
                  <c:v>0.15984610172082694</c:v>
                </c:pt>
                <c:pt idx="24">
                  <c:v>0.17379630696191736</c:v>
                </c:pt>
                <c:pt idx="25">
                  <c:v>0.19048075243026144</c:v>
                </c:pt>
              </c:numCache>
            </c:numRef>
          </c:xVal>
          <c:yVal>
            <c:numRef>
              <c:f>'[1]Pptnlines'!$R$2:$R$27</c:f>
              <c:numCache>
                <c:ptCount val="26"/>
                <c:pt idx="0">
                  <c:v>3.5</c:v>
                </c:pt>
                <c:pt idx="1">
                  <c:v>3.4</c:v>
                </c:pt>
                <c:pt idx="2">
                  <c:v>3.3</c:v>
                </c:pt>
                <c:pt idx="3">
                  <c:v>3.1999999999999997</c:v>
                </c:pt>
                <c:pt idx="4">
                  <c:v>3.0999999999999996</c:v>
                </c:pt>
                <c:pt idx="5">
                  <c:v>2.9999999999999996</c:v>
                </c:pt>
                <c:pt idx="6">
                  <c:v>2.8999999999999995</c:v>
                </c:pt>
                <c:pt idx="7">
                  <c:v>2.7999999999999994</c:v>
                </c:pt>
                <c:pt idx="8">
                  <c:v>2.6999999999999993</c:v>
                </c:pt>
                <c:pt idx="9">
                  <c:v>2.599999999999999</c:v>
                </c:pt>
                <c:pt idx="10">
                  <c:v>2.499999999999999</c:v>
                </c:pt>
                <c:pt idx="11">
                  <c:v>2.399999999999999</c:v>
                </c:pt>
                <c:pt idx="12">
                  <c:v>2.299999999999999</c:v>
                </c:pt>
                <c:pt idx="13">
                  <c:v>2.199999999999999</c:v>
                </c:pt>
                <c:pt idx="14">
                  <c:v>2.0999999999999988</c:v>
                </c:pt>
                <c:pt idx="15">
                  <c:v>1.9999999999999987</c:v>
                </c:pt>
                <c:pt idx="16">
                  <c:v>1.8999999999999986</c:v>
                </c:pt>
                <c:pt idx="17">
                  <c:v>1.7999999999999985</c:v>
                </c:pt>
                <c:pt idx="18">
                  <c:v>1.6999999999999984</c:v>
                </c:pt>
                <c:pt idx="19">
                  <c:v>1.5999999999999983</c:v>
                </c:pt>
                <c:pt idx="20">
                  <c:v>1.4999999999999982</c:v>
                </c:pt>
                <c:pt idx="21">
                  <c:v>1.3999999999999981</c:v>
                </c:pt>
                <c:pt idx="22">
                  <c:v>1.299999999999998</c:v>
                </c:pt>
                <c:pt idx="23">
                  <c:v>1.199999999999998</c:v>
                </c:pt>
                <c:pt idx="24">
                  <c:v>1.0999999999999979</c:v>
                </c:pt>
                <c:pt idx="25">
                  <c:v>0.9999999999999979</c:v>
                </c:pt>
              </c:numCache>
            </c:numRef>
          </c:yVal>
          <c:smooth val="0"/>
        </c:ser>
        <c:ser>
          <c:idx val="6"/>
          <c:order val="5"/>
          <c:tx>
            <c:v>Calcite precipitation guidelines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'[1]Pptnlines'!$H$2:$H$26</c:f>
              <c:numCache>
                <c:ptCount val="25"/>
                <c:pt idx="0">
                  <c:v>0.1142857142857143</c:v>
                </c:pt>
                <c:pt idx="1">
                  <c:v>0.11751260504201681</c:v>
                </c:pt>
                <c:pt idx="2">
                  <c:v>0.12093115355233003</c:v>
                </c:pt>
                <c:pt idx="3">
                  <c:v>0.12455908815889993</c:v>
                </c:pt>
                <c:pt idx="4">
                  <c:v>0.12841640185672396</c:v>
                </c:pt>
                <c:pt idx="5">
                  <c:v>0.13252572671613913</c:v>
                </c:pt>
                <c:pt idx="6">
                  <c:v>0.13691278525570788</c:v>
                </c:pt>
                <c:pt idx="7">
                  <c:v>0.14160693789304643</c:v>
                </c:pt>
                <c:pt idx="8">
                  <c:v>0.14664185124035475</c:v>
                </c:pt>
                <c:pt idx="9">
                  <c:v>0.15205631959384477</c:v>
                </c:pt>
                <c:pt idx="10">
                  <c:v>0.1578952822662484</c:v>
                </c:pt>
                <c:pt idx="11">
                  <c:v>0.16421109355689836</c:v>
                </c:pt>
                <c:pt idx="12">
                  <c:v>0.17106512180970807</c:v>
                </c:pt>
                <c:pt idx="13">
                  <c:v>0.17852978167049532</c:v>
                </c:pt>
                <c:pt idx="14">
                  <c:v>0.1866911431182894</c:v>
                </c:pt>
                <c:pt idx="15">
                  <c:v>0.19565231798796734</c:v>
                </c:pt>
                <c:pt idx="16">
                  <c:v>0.20553790879156988</c:v>
                </c:pt>
                <c:pt idx="17">
                  <c:v>0.21649993059378697</c:v>
                </c:pt>
                <c:pt idx="18">
                  <c:v>0.22872580902731848</c:v>
                </c:pt>
                <c:pt idx="19">
                  <c:v>0.2424493575689576</c:v>
                </c:pt>
                <c:pt idx="20">
                  <c:v>0.257966116453371</c:v>
                </c:pt>
                <c:pt idx="21">
                  <c:v>0.2756552215816021</c:v>
                </c:pt>
                <c:pt idx="22">
                  <c:v>0.2960112994830128</c:v>
                </c:pt>
                <c:pt idx="23">
                  <c:v>0.3196922034416539</c:v>
                </c:pt>
                <c:pt idx="24">
                  <c:v>0.3475926139238347</c:v>
                </c:pt>
              </c:numCache>
            </c:numRef>
          </c:xVal>
          <c:yVal>
            <c:numRef>
              <c:f>'[1]Pptnlines'!$R$2:$R$26</c:f>
              <c:numCache>
                <c:ptCount val="25"/>
                <c:pt idx="0">
                  <c:v>3.5</c:v>
                </c:pt>
                <c:pt idx="1">
                  <c:v>3.4</c:v>
                </c:pt>
                <c:pt idx="2">
                  <c:v>3.3</c:v>
                </c:pt>
                <c:pt idx="3">
                  <c:v>3.1999999999999997</c:v>
                </c:pt>
                <c:pt idx="4">
                  <c:v>3.0999999999999996</c:v>
                </c:pt>
                <c:pt idx="5">
                  <c:v>2.9999999999999996</c:v>
                </c:pt>
                <c:pt idx="6">
                  <c:v>2.8999999999999995</c:v>
                </c:pt>
                <c:pt idx="7">
                  <c:v>2.7999999999999994</c:v>
                </c:pt>
                <c:pt idx="8">
                  <c:v>2.6999999999999993</c:v>
                </c:pt>
                <c:pt idx="9">
                  <c:v>2.599999999999999</c:v>
                </c:pt>
                <c:pt idx="10">
                  <c:v>2.499999999999999</c:v>
                </c:pt>
                <c:pt idx="11">
                  <c:v>2.399999999999999</c:v>
                </c:pt>
                <c:pt idx="12">
                  <c:v>2.299999999999999</c:v>
                </c:pt>
                <c:pt idx="13">
                  <c:v>2.199999999999999</c:v>
                </c:pt>
                <c:pt idx="14">
                  <c:v>2.0999999999999988</c:v>
                </c:pt>
                <c:pt idx="15">
                  <c:v>1.9999999999999987</c:v>
                </c:pt>
                <c:pt idx="16">
                  <c:v>1.8999999999999986</c:v>
                </c:pt>
                <c:pt idx="17">
                  <c:v>1.7999999999999985</c:v>
                </c:pt>
                <c:pt idx="18">
                  <c:v>1.6999999999999984</c:v>
                </c:pt>
                <c:pt idx="19">
                  <c:v>1.5999999999999983</c:v>
                </c:pt>
                <c:pt idx="20">
                  <c:v>1.4999999999999982</c:v>
                </c:pt>
                <c:pt idx="21">
                  <c:v>1.3999999999999981</c:v>
                </c:pt>
                <c:pt idx="22">
                  <c:v>1.299999999999998</c:v>
                </c:pt>
                <c:pt idx="23">
                  <c:v>1.199999999999998</c:v>
                </c:pt>
                <c:pt idx="24">
                  <c:v>1.0999999999999979</c:v>
                </c:pt>
              </c:numCache>
            </c:numRef>
          </c:yVal>
          <c:smooth val="0"/>
        </c:ser>
        <c:axId val="45278880"/>
        <c:axId val="4856737"/>
      </c:scatterChart>
      <c:valAx>
        <c:axId val="45278880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Mg/Ca (molar ratio)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856737"/>
        <c:crosses val="autoZero"/>
        <c:crossBetween val="midCat"/>
        <c:dispUnits/>
      </c:valAx>
      <c:valAx>
        <c:axId val="4856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 (mmol/L)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27888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43975"/>
          <c:y val="0.68025"/>
          <c:w val="0.4295"/>
          <c:h val="0.1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 paperSize="9"/>
  <headerFooter>
    <oddHeader>&amp;L&amp;A&amp;C&amp;D&amp;R&amp;F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50"/>
  </sheetViews>
  <pageMargins left="0.75" right="0.75" top="1" bottom="1" header="0.5" footer="0.5"/>
  <pageSetup horizontalDpi="300" verticalDpi="300" orientation="landscape" paperSize="9"/>
  <headerFooter>
    <oddHeader>&amp;L&amp;A&amp;C&amp;D&amp;R&amp;F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0.50125</cdr:x>
      <cdr:y>0.12925</cdr:y>
    </cdr:from>
    <cdr:to>
      <cdr:x>0.73325</cdr:x>
      <cdr:y>0.13</cdr:y>
    </cdr:to>
    <cdr:sp>
      <cdr:nvSpPr>
        <cdr:cNvPr id="1" name="Line 1"/>
        <cdr:cNvSpPr>
          <a:spLocks/>
        </cdr:cNvSpPr>
      </cdr:nvSpPr>
      <cdr:spPr>
        <a:xfrm flipV="1">
          <a:off x="4657725" y="733425"/>
          <a:ext cx="216217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0.55725</cdr:x>
      <cdr:y>0.16</cdr:y>
    </cdr:from>
    <cdr:to>
      <cdr:x>0.628</cdr:x>
      <cdr:y>0.2755</cdr:y>
    </cdr:to>
    <cdr:sp>
      <cdr:nvSpPr>
        <cdr:cNvPr id="2" name="Line 2"/>
        <cdr:cNvSpPr>
          <a:spLocks/>
        </cdr:cNvSpPr>
      </cdr:nvSpPr>
      <cdr:spPr>
        <a:xfrm>
          <a:off x="5181600" y="914400"/>
          <a:ext cx="657225" cy="6572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0.62725</cdr:x>
      <cdr:y>0.177</cdr:y>
    </cdr:from>
    <cdr:to>
      <cdr:x>0.83125</cdr:x>
      <cdr:y>0.3215</cdr:y>
    </cdr:to>
    <cdr:sp>
      <cdr:nvSpPr>
        <cdr:cNvPr id="3" name="Text Box 3"/>
        <cdr:cNvSpPr txBox="1">
          <a:spLocks noChangeArrowheads="1"/>
        </cdr:cNvSpPr>
      </cdr:nvSpPr>
      <cdr:spPr>
        <a:xfrm>
          <a:off x="5829300" y="1009650"/>
          <a:ext cx="189547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prior calcite precipitation trend</a:t>
          </a:r>
        </a:p>
      </cdr:txBody>
    </cdr:sp>
  </cdr:relSizeAnchor>
  <cdr:relSizeAnchor xmlns:cdr="http://schemas.openxmlformats.org/drawingml/2006/chartDrawing">
    <cdr:from>
      <cdr:x>0.4895</cdr:x>
      <cdr:y>0.05775</cdr:y>
    </cdr:from>
    <cdr:to>
      <cdr:x>0.737</cdr:x>
      <cdr:y>0.1125</cdr:y>
    </cdr:to>
    <cdr:sp>
      <cdr:nvSpPr>
        <cdr:cNvPr id="4" name="Text Box 4"/>
        <cdr:cNvSpPr txBox="1">
          <a:spLocks noChangeArrowheads="1"/>
        </cdr:cNvSpPr>
      </cdr:nvSpPr>
      <cdr:spPr>
        <a:xfrm>
          <a:off x="4552950" y="323850"/>
          <a:ext cx="2305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higher Sr source</a:t>
          </a:r>
        </a:p>
      </cdr:txBody>
    </cdr:sp>
  </cdr:relSizeAnchor>
  <cdr:relSizeAnchor xmlns:cdr="http://schemas.openxmlformats.org/drawingml/2006/chartDrawing">
    <cdr:from>
      <cdr:x>0.15525</cdr:x>
      <cdr:y>0.0305</cdr:y>
    </cdr:from>
    <cdr:to>
      <cdr:x>0.4585</cdr:x>
      <cdr:y>0.16</cdr:y>
    </cdr:to>
    <cdr:sp>
      <cdr:nvSpPr>
        <cdr:cNvPr id="5" name="Text Box 5"/>
        <cdr:cNvSpPr txBox="1">
          <a:spLocks noChangeArrowheads="1"/>
        </cdr:cNvSpPr>
      </cdr:nvSpPr>
      <cdr:spPr>
        <a:xfrm>
          <a:off x="1438275" y="171450"/>
          <a:ext cx="281940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Equilibrium -logP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6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values</a:t>
          </a:r>
        </a:p>
      </cdr:txBody>
    </cdr:sp>
  </cdr:relSizeAnchor>
  <cdr:relSizeAnchor xmlns:cdr="http://schemas.openxmlformats.org/drawingml/2006/chartDrawing">
    <cdr:from>
      <cdr:x>0.203</cdr:x>
      <cdr:y>0.0885</cdr:y>
    </cdr:from>
    <cdr:to>
      <cdr:x>0.2045</cdr:x>
      <cdr:y>0.16</cdr:y>
    </cdr:to>
    <cdr:sp>
      <cdr:nvSpPr>
        <cdr:cNvPr id="6" name="Line 6"/>
        <cdr:cNvSpPr>
          <a:spLocks/>
        </cdr:cNvSpPr>
      </cdr:nvSpPr>
      <cdr:spPr>
        <a:xfrm>
          <a:off x="1885950" y="504825"/>
          <a:ext cx="9525" cy="409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0.8115</cdr:x>
      <cdr:y>0.0885</cdr:y>
    </cdr:from>
    <cdr:to>
      <cdr:x>0.87775</cdr:x>
      <cdr:y>0.217</cdr:y>
    </cdr:to>
    <cdr:sp>
      <cdr:nvSpPr>
        <cdr:cNvPr id="7" name="Text Box 9"/>
        <cdr:cNvSpPr txBox="1">
          <a:spLocks noChangeArrowheads="1"/>
        </cdr:cNvSpPr>
      </cdr:nvSpPr>
      <cdr:spPr>
        <a:xfrm>
          <a:off x="7543800" y="504825"/>
          <a:ext cx="6191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73152" tIns="59436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0.42325</cdr:x>
      <cdr:y>0.12925</cdr:y>
    </cdr:from>
    <cdr:to>
      <cdr:x>0.60675</cdr:x>
      <cdr:y>0.12925</cdr:y>
    </cdr:to>
    <cdr:sp>
      <cdr:nvSpPr>
        <cdr:cNvPr id="1" name="Line 1"/>
        <cdr:cNvSpPr>
          <a:spLocks/>
        </cdr:cNvSpPr>
      </cdr:nvSpPr>
      <cdr:spPr>
        <a:xfrm>
          <a:off x="3933825" y="733425"/>
          <a:ext cx="170497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0.424</cdr:x>
      <cdr:y>0.16525</cdr:y>
    </cdr:from>
    <cdr:to>
      <cdr:x>0.483</cdr:x>
      <cdr:y>0.29525</cdr:y>
    </cdr:to>
    <cdr:sp>
      <cdr:nvSpPr>
        <cdr:cNvPr id="2" name="Line 2"/>
        <cdr:cNvSpPr>
          <a:spLocks/>
        </cdr:cNvSpPr>
      </cdr:nvSpPr>
      <cdr:spPr>
        <a:xfrm>
          <a:off x="3943350" y="942975"/>
          <a:ext cx="552450" cy="7429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0.48375</cdr:x>
      <cdr:y>0.2415</cdr:y>
    </cdr:from>
    <cdr:to>
      <cdr:x>0.85075</cdr:x>
      <cdr:y>0.29525</cdr:y>
    </cdr:to>
    <cdr:sp>
      <cdr:nvSpPr>
        <cdr:cNvPr id="3" name="Text Box 3"/>
        <cdr:cNvSpPr txBox="1">
          <a:spLocks noChangeArrowheads="1"/>
        </cdr:cNvSpPr>
      </cdr:nvSpPr>
      <cdr:spPr>
        <a:xfrm>
          <a:off x="4495800" y="1371600"/>
          <a:ext cx="34194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prior calcite precipitation trend</a:t>
          </a:r>
        </a:p>
      </cdr:txBody>
    </cdr:sp>
  </cdr:relSizeAnchor>
  <cdr:relSizeAnchor xmlns:cdr="http://schemas.openxmlformats.org/drawingml/2006/chartDrawing">
    <cdr:from>
      <cdr:x>0.523</cdr:x>
      <cdr:y>0.15</cdr:y>
    </cdr:from>
    <cdr:to>
      <cdr:x>0.7705</cdr:x>
      <cdr:y>0.20375</cdr:y>
    </cdr:to>
    <cdr:sp>
      <cdr:nvSpPr>
        <cdr:cNvPr id="4" name="Text Box 4"/>
        <cdr:cNvSpPr txBox="1">
          <a:spLocks noChangeArrowheads="1"/>
        </cdr:cNvSpPr>
      </cdr:nvSpPr>
      <cdr:spPr>
        <a:xfrm>
          <a:off x="4857750" y="857250"/>
          <a:ext cx="23050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higher Mg source</a:t>
          </a:r>
        </a:p>
      </cdr:txBody>
    </cdr:sp>
  </cdr:relSizeAnchor>
  <cdr:relSizeAnchor xmlns:cdr="http://schemas.openxmlformats.org/drawingml/2006/chartDrawing">
    <cdr:from>
      <cdr:x>0.137</cdr:x>
      <cdr:y>0.0205</cdr:y>
    </cdr:from>
    <cdr:to>
      <cdr:x>0.8735</cdr:x>
      <cdr:y>0.2245</cdr:y>
    </cdr:to>
    <cdr:sp>
      <cdr:nvSpPr>
        <cdr:cNvPr id="5" name="Text Box 5"/>
        <cdr:cNvSpPr txBox="1">
          <a:spLocks noChangeArrowheads="1"/>
        </cdr:cNvSpPr>
      </cdr:nvSpPr>
      <cdr:spPr>
        <a:xfrm>
          <a:off x="1266825" y="114300"/>
          <a:ext cx="6858000" cy="1162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Equilibrium -logPCO</a:t>
          </a:r>
          <a:r>
            <a:rPr lang="en-US" cap="none" sz="16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values</a:t>
          </a:r>
        </a:p>
      </cdr:txBody>
    </cdr:sp>
  </cdr:relSizeAnchor>
  <cdr:relSizeAnchor xmlns:cdr="http://schemas.openxmlformats.org/drawingml/2006/chartDrawing">
    <cdr:from>
      <cdr:x>0.1515</cdr:x>
      <cdr:y>0.0915</cdr:y>
    </cdr:from>
    <cdr:to>
      <cdr:x>0.15225</cdr:x>
      <cdr:y>0.1675</cdr:y>
    </cdr:to>
    <cdr:sp>
      <cdr:nvSpPr>
        <cdr:cNvPr id="6" name="Line 6"/>
        <cdr:cNvSpPr>
          <a:spLocks/>
        </cdr:cNvSpPr>
      </cdr:nvSpPr>
      <cdr:spPr>
        <a:xfrm>
          <a:off x="1409700" y="514350"/>
          <a:ext cx="9525" cy="4381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0.80475</cdr:x>
      <cdr:y>0.05775</cdr:y>
    </cdr:from>
    <cdr:to>
      <cdr:x>0.87725</cdr:x>
      <cdr:y>0.186</cdr:y>
    </cdr:to>
    <cdr:sp>
      <cdr:nvSpPr>
        <cdr:cNvPr id="7" name="Text Box 10"/>
        <cdr:cNvSpPr txBox="1">
          <a:spLocks noChangeArrowheads="1"/>
        </cdr:cNvSpPr>
      </cdr:nvSpPr>
      <cdr:spPr>
        <a:xfrm>
          <a:off x="7486650" y="323850"/>
          <a:ext cx="67627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73152" tIns="59436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0.1515</cdr:x>
      <cdr:y>0.755</cdr:y>
    </cdr:from>
    <cdr:to>
      <cdr:x>0.1515</cdr:x>
      <cdr:y>0.8025</cdr:y>
    </cdr:to>
    <cdr:sp>
      <cdr:nvSpPr>
        <cdr:cNvPr id="8" name="Line 11"/>
        <cdr:cNvSpPr>
          <a:spLocks/>
        </cdr:cNvSpPr>
      </cdr:nvSpPr>
      <cdr:spPr>
        <a:xfrm>
          <a:off x="1409700" y="4314825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0.15375</cdr:x>
      <cdr:y>0.77175</cdr:y>
    </cdr:from>
    <cdr:to>
      <cdr:x>0.52075</cdr:x>
      <cdr:y>0.82575</cdr:y>
    </cdr:to>
    <cdr:sp>
      <cdr:nvSpPr>
        <cdr:cNvPr id="9" name="Text Box 12"/>
        <cdr:cNvSpPr txBox="1">
          <a:spLocks noChangeArrowheads="1"/>
        </cdr:cNvSpPr>
      </cdr:nvSpPr>
      <cdr:spPr>
        <a:xfrm>
          <a:off x="1428750" y="4410075"/>
          <a:ext cx="34194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mean bedrock composition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n\Documents\papers\published\detailed%20files\06%20BFM%20J%20Hydro\BFM%20plots%204th%20March%2019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gNaClNa"/>
      <sheetName val="Pptnlines"/>
      <sheetName val="soil water"/>
      <sheetName val="Nob"/>
      <sheetName val="emissions"/>
      <sheetName val="intensities"/>
      <sheetName val="Time events"/>
      <sheetName val="Piss"/>
      <sheetName val="Site3"/>
      <sheetName val="Site3a"/>
      <sheetName val="Boss"/>
      <sheetName val="driprates"/>
      <sheetName val="Dcorner"/>
      <sheetName val="Dother"/>
      <sheetName val="Jols"/>
      <sheetName val="Nleft"/>
      <sheetName val="Nright"/>
      <sheetName val="Pool"/>
      <sheetName val="Frog1"/>
      <sheetName val="Cldischarge"/>
      <sheetName val="Frog2"/>
      <sheetName val="Frog3"/>
      <sheetName val="Frog4"/>
      <sheetName val="blanks"/>
      <sheetName val="Frog5"/>
      <sheetName val="SrCa time"/>
      <sheetName val="SrCa discharge"/>
      <sheetName val="SrCa MgCa"/>
      <sheetName val="MgCa time"/>
      <sheetName val="MgCa-Cl "/>
      <sheetName val="MgCa discharge"/>
      <sheetName val="someMgtime"/>
      <sheetName val="someCatime"/>
      <sheetName val="Ca time"/>
      <sheetName val="Some Ca discharge (2)"/>
      <sheetName val="Cadischarge"/>
      <sheetName val="Ca MgCa"/>
      <sheetName val="cc sat"/>
      <sheetName val="Some SrCa "/>
      <sheetName val="Some Ca MgCa"/>
      <sheetName val="Some Ca discharge"/>
      <sheetName val="Ca SrCa"/>
      <sheetName val="someDischarge"/>
      <sheetName val="Dischargeall"/>
      <sheetName val="Discharge fast"/>
      <sheetName val="Discharge (slow)"/>
      <sheetName val="Cl time"/>
      <sheetName val="Friedrich diagram"/>
      <sheetName val="Summary table"/>
      <sheetName val="Hydrology"/>
      <sheetName val="Variable discharge"/>
    </sheetNames>
    <sheetDataSet>
      <sheetData sheetId="1">
        <row r="2">
          <cell r="F2">
            <v>0.05714285714285715</v>
          </cell>
          <cell r="H2">
            <v>0.1142857142857143</v>
          </cell>
          <cell r="P2">
            <v>2.857142857142857</v>
          </cell>
          <cell r="R2">
            <v>3.5</v>
          </cell>
        </row>
        <row r="3">
          <cell r="F3">
            <v>0.058756302521008406</v>
          </cell>
          <cell r="H3">
            <v>0.11751260504201681</v>
          </cell>
          <cell r="P3">
            <v>2.9327731092436977</v>
          </cell>
          <cell r="R3">
            <v>3.4</v>
          </cell>
        </row>
        <row r="4">
          <cell r="F4">
            <v>0.060465576776165014</v>
          </cell>
          <cell r="H4">
            <v>0.12093115355233003</v>
          </cell>
          <cell r="P4">
            <v>3.0127578304048894</v>
          </cell>
          <cell r="R4">
            <v>3.3</v>
          </cell>
        </row>
        <row r="5">
          <cell r="F5">
            <v>0.06227954407944997</v>
          </cell>
          <cell r="H5">
            <v>0.12455908815889993</v>
          </cell>
          <cell r="P5">
            <v>3.0974916443850273</v>
          </cell>
          <cell r="R5">
            <v>3.1999999999999997</v>
          </cell>
        </row>
        <row r="6">
          <cell r="F6">
            <v>0.06420820092836198</v>
          </cell>
          <cell r="G6">
            <v>1.5937094105787477</v>
          </cell>
          <cell r="H6">
            <v>0.12841640185672396</v>
          </cell>
          <cell r="P6">
            <v>3.1874188211574954</v>
          </cell>
          <cell r="R6">
            <v>3.0999999999999996</v>
          </cell>
        </row>
        <row r="7">
          <cell r="F7">
            <v>0.06626286335806957</v>
          </cell>
          <cell r="G7">
            <v>1.6415206928961104</v>
          </cell>
          <cell r="H7">
            <v>0.13252572671613913</v>
          </cell>
          <cell r="P7">
            <v>3.2830413857922207</v>
          </cell>
          <cell r="R7">
            <v>2.9999999999999996</v>
          </cell>
        </row>
        <row r="8">
          <cell r="F8">
            <v>0.06845639262785394</v>
          </cell>
          <cell r="G8">
            <v>1.6924644385377137</v>
          </cell>
          <cell r="H8">
            <v>0.13691278525570788</v>
          </cell>
          <cell r="P8">
            <v>3.3849288770754273</v>
          </cell>
          <cell r="R8">
            <v>2.8999999999999995</v>
          </cell>
        </row>
        <row r="9">
          <cell r="F9">
            <v>0.07080346894652322</v>
          </cell>
          <cell r="G9">
            <v>1.7468650812049973</v>
          </cell>
          <cell r="H9">
            <v>0.14160693789304643</v>
          </cell>
          <cell r="P9">
            <v>3.4937301624099946</v>
          </cell>
          <cell r="R9">
            <v>2.7999999999999994</v>
          </cell>
        </row>
        <row r="10">
          <cell r="F10">
            <v>0.07332092562017738</v>
          </cell>
          <cell r="G10">
            <v>1.805093917245164</v>
          </cell>
          <cell r="H10">
            <v>0.14664185124035475</v>
          </cell>
          <cell r="P10">
            <v>3.610187834490328</v>
          </cell>
          <cell r="R10">
            <v>2.6999999999999993</v>
          </cell>
        </row>
        <row r="11">
          <cell r="F11">
            <v>0.07602815979692239</v>
          </cell>
          <cell r="G11">
            <v>1.867577937457497</v>
          </cell>
          <cell r="H11">
            <v>0.15205631959384477</v>
          </cell>
          <cell r="P11">
            <v>3.735155874914994</v>
          </cell>
          <cell r="R11">
            <v>2.599999999999999</v>
          </cell>
        </row>
        <row r="12">
          <cell r="F12">
            <v>0.0789476411331242</v>
          </cell>
          <cell r="G12">
            <v>1.9348107432059667</v>
          </cell>
          <cell r="H12">
            <v>0.1578952822662484</v>
          </cell>
          <cell r="P12">
            <v>3.8696214864119334</v>
          </cell>
          <cell r="R12">
            <v>2.499999999999999</v>
          </cell>
        </row>
        <row r="13">
          <cell r="F13">
            <v>0.08210554677844918</v>
          </cell>
          <cell r="G13">
            <v>2.0073661460761905</v>
          </cell>
          <cell r="H13">
            <v>0.16421109355689836</v>
          </cell>
          <cell r="P13">
            <v>4.014732292152381</v>
          </cell>
          <cell r="R13">
            <v>2.399999999999999</v>
          </cell>
        </row>
        <row r="14">
          <cell r="F14">
            <v>0.08553256090485403</v>
          </cell>
          <cell r="G14">
            <v>2.0859152561400416</v>
          </cell>
          <cell r="H14">
            <v>0.17106512180970807</v>
          </cell>
          <cell r="P14">
            <v>4.171830512280083</v>
          </cell>
          <cell r="R14">
            <v>2.299999999999999</v>
          </cell>
        </row>
        <row r="15">
          <cell r="F15">
            <v>0.08926489083524766</v>
          </cell>
          <cell r="G15">
            <v>2.171248152982134</v>
          </cell>
          <cell r="H15">
            <v>0.17852978167049532</v>
          </cell>
          <cell r="P15">
            <v>4.342496305964268</v>
          </cell>
          <cell r="R15">
            <v>2.199999999999999</v>
          </cell>
        </row>
        <row r="16">
          <cell r="F16">
            <v>0.0933455715591447</v>
          </cell>
          <cell r="G16">
            <v>2.264301645252797</v>
          </cell>
          <cell r="H16">
            <v>0.1866911431182894</v>
          </cell>
          <cell r="P16">
            <v>4.528603290505594</v>
          </cell>
          <cell r="R16">
            <v>2.0999999999999988</v>
          </cell>
        </row>
        <row r="17">
          <cell r="F17">
            <v>0.09782615899398367</v>
          </cell>
          <cell r="G17">
            <v>2.3661952192891733</v>
          </cell>
          <cell r="H17">
            <v>0.19565231798796734</v>
          </cell>
          <cell r="P17">
            <v>4.732390438578347</v>
          </cell>
          <cell r="R17">
            <v>1.9999999999999987</v>
          </cell>
        </row>
        <row r="18">
          <cell r="F18">
            <v>0.10276895439578494</v>
          </cell>
          <cell r="G18">
            <v>2.478278150729187</v>
          </cell>
          <cell r="H18">
            <v>0.20553790879156988</v>
          </cell>
          <cell r="P18">
            <v>4.956556301458374</v>
          </cell>
          <cell r="R18">
            <v>1.8999999999999986</v>
          </cell>
        </row>
        <row r="19">
          <cell r="F19">
            <v>0.10824996529689349</v>
          </cell>
          <cell r="G19">
            <v>2.6021920582656466</v>
          </cell>
          <cell r="H19">
            <v>0.21649993059378697</v>
          </cell>
          <cell r="P19">
            <v>5.204384116531293</v>
          </cell>
          <cell r="R19">
            <v>1.7999999999999985</v>
          </cell>
        </row>
        <row r="20">
          <cell r="F20">
            <v>0.11436290451365924</v>
          </cell>
          <cell r="G20">
            <v>2.739955167232652</v>
          </cell>
          <cell r="H20">
            <v>0.22872580902731848</v>
          </cell>
          <cell r="R20">
            <v>1.6999999999999984</v>
          </cell>
        </row>
        <row r="21">
          <cell r="F21">
            <v>0.1212246787844788</v>
          </cell>
          <cell r="G21">
            <v>2.8940776453894883</v>
          </cell>
          <cell r="H21">
            <v>0.2424493575689576</v>
          </cell>
          <cell r="R21">
            <v>1.5999999999999983</v>
          </cell>
        </row>
        <row r="22">
          <cell r="F22">
            <v>0.1289830582266855</v>
          </cell>
          <cell r="G22">
            <v>3.0677223041128583</v>
          </cell>
          <cell r="H22">
            <v>0.257966116453371</v>
          </cell>
          <cell r="R22">
            <v>1.4999999999999982</v>
          </cell>
        </row>
        <row r="23">
          <cell r="F23">
            <v>0.13782761079080105</v>
          </cell>
          <cell r="G23">
            <v>3.2649330236629703</v>
          </cell>
          <cell r="H23">
            <v>0.2756552215816021</v>
          </cell>
          <cell r="R23">
            <v>1.3999999999999981</v>
          </cell>
        </row>
        <row r="24">
          <cell r="F24">
            <v>0.1480056497415064</v>
          </cell>
          <cell r="G24">
            <v>3.4909668483781</v>
          </cell>
          <cell r="H24">
            <v>0.2960112994830128</v>
          </cell>
          <cell r="R24">
            <v>1.299999999999998</v>
          </cell>
        </row>
        <row r="25">
          <cell r="F25">
            <v>0.15984610172082694</v>
          </cell>
          <cell r="G25">
            <v>3.752789362006458</v>
          </cell>
          <cell r="H25">
            <v>0.3196922034416539</v>
          </cell>
          <cell r="R25">
            <v>1.199999999999998</v>
          </cell>
        </row>
        <row r="26">
          <cell r="F26">
            <v>0.17379630696191736</v>
          </cell>
          <cell r="G26">
            <v>4.059835764352441</v>
          </cell>
          <cell r="H26">
            <v>0.3475926139238347</v>
          </cell>
          <cell r="R26">
            <v>1.0999999999999979</v>
          </cell>
        </row>
        <row r="27">
          <cell r="F27">
            <v>0.19048075243026144</v>
          </cell>
          <cell r="G27">
            <v>4.425220983144162</v>
          </cell>
          <cell r="R27">
            <v>0.9999999999999979</v>
          </cell>
        </row>
      </sheetData>
      <sheetData sheetId="37">
        <row r="16">
          <cell r="E16">
            <v>0.0079</v>
          </cell>
          <cell r="H16">
            <v>0.5160465625000029</v>
          </cell>
        </row>
        <row r="17">
          <cell r="E17">
            <v>0.0079</v>
          </cell>
          <cell r="H17">
            <v>0.7802275000000009</v>
          </cell>
        </row>
        <row r="18">
          <cell r="E18">
            <v>0.0079</v>
          </cell>
          <cell r="H18">
            <v>1.1566796875000023</v>
          </cell>
        </row>
        <row r="19">
          <cell r="E19">
            <v>0.0079</v>
          </cell>
          <cell r="H19">
            <v>1.7494600000000005</v>
          </cell>
        </row>
        <row r="20">
          <cell r="E20">
            <v>0.0079</v>
          </cell>
          <cell r="H20">
            <v>2.6626253125000003</v>
          </cell>
        </row>
        <row r="21">
          <cell r="E21">
            <v>0.0079</v>
          </cell>
          <cell r="H21">
            <v>3.4075969600000016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D26" sqref="D26"/>
    </sheetView>
  </sheetViews>
  <sheetFormatPr defaultColWidth="9.140625" defaultRowHeight="12.75"/>
  <cols>
    <col min="4" max="4" width="13.140625" style="0" customWidth="1"/>
    <col min="5" max="5" width="15.421875" style="0" customWidth="1"/>
  </cols>
  <sheetData>
    <row r="1" ht="14.25">
      <c r="A1" t="s">
        <v>155</v>
      </c>
    </row>
    <row r="3" spans="2:4" ht="15.75">
      <c r="B3" s="24" t="s">
        <v>156</v>
      </c>
      <c r="C3" t="s">
        <v>151</v>
      </c>
      <c r="D3" t="s">
        <v>152</v>
      </c>
    </row>
    <row r="4" spans="2:3" ht="12.75">
      <c r="B4">
        <v>3.42</v>
      </c>
      <c r="C4">
        <v>22.36</v>
      </c>
    </row>
    <row r="5" spans="2:3" ht="12.75">
      <c r="B5">
        <v>3.06</v>
      </c>
      <c r="C5">
        <v>29.59</v>
      </c>
    </row>
    <row r="6" spans="2:3" ht="12.75">
      <c r="B6">
        <v>2.96</v>
      </c>
      <c r="C6">
        <v>32</v>
      </c>
    </row>
    <row r="7" spans="2:3" ht="12.75">
      <c r="B7">
        <v>2.8</v>
      </c>
      <c r="C7">
        <v>36.54</v>
      </c>
    </row>
    <row r="8" spans="2:3" ht="12.75">
      <c r="B8">
        <v>2.42</v>
      </c>
      <c r="C8">
        <v>49.49</v>
      </c>
    </row>
    <row r="9" spans="2:3" ht="12.75">
      <c r="B9">
        <v>2.22</v>
      </c>
      <c r="C9">
        <v>58.39</v>
      </c>
    </row>
    <row r="10" spans="2:3" ht="12.75">
      <c r="B10">
        <v>2.11</v>
      </c>
      <c r="C10">
        <v>63.97</v>
      </c>
    </row>
    <row r="11" spans="2:3" ht="12.75">
      <c r="B11">
        <v>1.72</v>
      </c>
      <c r="C11">
        <v>88.47</v>
      </c>
    </row>
    <row r="12" spans="2:3" ht="12.75">
      <c r="B12">
        <v>1.47</v>
      </c>
      <c r="C12">
        <v>108.67</v>
      </c>
    </row>
    <row r="13" spans="2:3" ht="12.75">
      <c r="B13">
        <v>1.3</v>
      </c>
      <c r="C13">
        <v>126.04</v>
      </c>
    </row>
    <row r="14" ht="12.75">
      <c r="E14" t="s">
        <v>161</v>
      </c>
    </row>
    <row r="15" spans="2:8" s="1" customFormat="1" ht="14.25">
      <c r="B15" s="26" t="s">
        <v>157</v>
      </c>
      <c r="C15" s="1" t="s">
        <v>151</v>
      </c>
      <c r="E15" s="1" t="s">
        <v>153</v>
      </c>
      <c r="F15" s="1" t="s">
        <v>154</v>
      </c>
      <c r="H15" s="1" t="s">
        <v>152</v>
      </c>
    </row>
    <row r="16" spans="2:8" ht="12.75">
      <c r="B16">
        <v>3.5</v>
      </c>
      <c r="C16" s="2">
        <f aca="true" t="shared" si="0" ref="C16:C21">-5.5497*B16^3+58.929*B16^2-227.97*B16+334.6</f>
        <v>20.641862500000116</v>
      </c>
      <c r="E16">
        <v>0.01</v>
      </c>
      <c r="F16">
        <v>0.4</v>
      </c>
      <c r="H16" s="9">
        <f aca="true" t="shared" si="1" ref="H16:H21">C16/40</f>
        <v>0.5160465625000029</v>
      </c>
    </row>
    <row r="17" spans="2:8" ht="12.75">
      <c r="B17">
        <v>3</v>
      </c>
      <c r="C17" s="2">
        <f t="shared" si="0"/>
        <v>31.209100000000035</v>
      </c>
      <c r="E17">
        <v>0.01</v>
      </c>
      <c r="F17">
        <v>0.4</v>
      </c>
      <c r="H17" s="9">
        <f t="shared" si="1"/>
        <v>0.7802275000000009</v>
      </c>
    </row>
    <row r="18" spans="2:8" ht="12.75">
      <c r="B18">
        <v>2.5</v>
      </c>
      <c r="C18" s="2">
        <f t="shared" si="0"/>
        <v>46.26718750000009</v>
      </c>
      <c r="E18">
        <v>0.01</v>
      </c>
      <c r="F18">
        <v>0.4</v>
      </c>
      <c r="H18" s="9">
        <f t="shared" si="1"/>
        <v>1.1566796875000023</v>
      </c>
    </row>
    <row r="19" spans="2:8" ht="12.75">
      <c r="B19">
        <v>2</v>
      </c>
      <c r="C19" s="2">
        <f t="shared" si="0"/>
        <v>69.97840000000002</v>
      </c>
      <c r="E19">
        <v>0.01</v>
      </c>
      <c r="F19">
        <v>0.4</v>
      </c>
      <c r="H19" s="9">
        <f t="shared" si="1"/>
        <v>1.7494600000000005</v>
      </c>
    </row>
    <row r="20" spans="2:8" ht="12.75">
      <c r="B20">
        <v>1.5</v>
      </c>
      <c r="C20" s="2">
        <f t="shared" si="0"/>
        <v>106.50501250000002</v>
      </c>
      <c r="E20">
        <v>0.01</v>
      </c>
      <c r="F20">
        <v>0.4</v>
      </c>
      <c r="H20" s="9">
        <f t="shared" si="1"/>
        <v>2.6626253125000003</v>
      </c>
    </row>
    <row r="21" spans="2:8" ht="12.75">
      <c r="B21">
        <v>1.2</v>
      </c>
      <c r="C21" s="2">
        <f t="shared" si="0"/>
        <v>136.30387840000006</v>
      </c>
      <c r="E21">
        <v>0.01</v>
      </c>
      <c r="F21">
        <v>0.4</v>
      </c>
      <c r="H21" s="9">
        <f t="shared" si="1"/>
        <v>3.4075969600000016</v>
      </c>
    </row>
    <row r="23" ht="12.75">
      <c r="E23" s="25" t="s">
        <v>160</v>
      </c>
    </row>
    <row r="24" spans="5:6" ht="12.75">
      <c r="E24">
        <v>0.0079</v>
      </c>
      <c r="F24">
        <v>1.6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H6" sqref="H6"/>
    </sheetView>
  </sheetViews>
  <sheetFormatPr defaultColWidth="9.140625" defaultRowHeight="12.75"/>
  <cols>
    <col min="2" max="2" width="10.28125" style="0" customWidth="1"/>
    <col min="3" max="3" width="10.00390625" style="0" customWidth="1"/>
    <col min="4" max="4" width="11.140625" style="0" customWidth="1"/>
    <col min="5" max="5" width="10.00390625" style="10" customWidth="1"/>
  </cols>
  <sheetData>
    <row r="1" spans="1:18" s="3" customFormat="1" ht="38.25">
      <c r="A1" s="4" t="s">
        <v>140</v>
      </c>
      <c r="B1" s="4" t="s">
        <v>141</v>
      </c>
      <c r="C1" s="19" t="s">
        <v>142</v>
      </c>
      <c r="D1" s="20" t="s">
        <v>143</v>
      </c>
      <c r="E1" s="21" t="s">
        <v>144</v>
      </c>
      <c r="F1" s="5" t="s">
        <v>22</v>
      </c>
      <c r="G1" s="22" t="s">
        <v>145</v>
      </c>
      <c r="H1" s="4" t="s">
        <v>146</v>
      </c>
      <c r="I1" s="4" t="s">
        <v>147</v>
      </c>
      <c r="J1" s="4"/>
      <c r="K1" s="4"/>
      <c r="L1" s="4" t="s">
        <v>148</v>
      </c>
      <c r="M1" s="4"/>
      <c r="N1" s="4"/>
      <c r="O1" s="4"/>
      <c r="P1" s="4" t="s">
        <v>149</v>
      </c>
      <c r="Q1" s="4" t="s">
        <v>150</v>
      </c>
      <c r="R1" s="4" t="s">
        <v>140</v>
      </c>
    </row>
    <row r="2" spans="1:18" ht="12.75">
      <c r="A2">
        <v>3.5</v>
      </c>
      <c r="C2" s="9">
        <v>0.2</v>
      </c>
      <c r="D2" s="14"/>
      <c r="E2" s="10">
        <v>0.005</v>
      </c>
      <c r="F2" s="12">
        <f aca="true" t="shared" si="0" ref="F2:F29">C2/A2</f>
        <v>0.05714285714285715</v>
      </c>
      <c r="G2" s="23">
        <f aca="true" t="shared" si="1" ref="G2:G29">1000*E2/A2</f>
        <v>1.4285714285714286</v>
      </c>
      <c r="H2" s="9">
        <f aca="true" t="shared" si="2" ref="H2:H29">2*F2</f>
        <v>0.1142857142857143</v>
      </c>
      <c r="I2" s="9">
        <f aca="true" t="shared" si="3" ref="I2:I29">3*F2</f>
        <v>0.17142857142857143</v>
      </c>
      <c r="J2" s="9">
        <f aca="true" t="shared" si="4" ref="J2:J29">H2*4</f>
        <v>0.4571428571428572</v>
      </c>
      <c r="K2">
        <f>H2*2</f>
        <v>0.2285714285714286</v>
      </c>
      <c r="L2">
        <f aca="true" t="shared" si="5" ref="L2:L29">0.24*F2</f>
        <v>0.013714285714285715</v>
      </c>
      <c r="M2">
        <f aca="true" t="shared" si="6" ref="M2:M29">P2*0.3</f>
        <v>0.8571428571428571</v>
      </c>
      <c r="N2">
        <f aca="true" t="shared" si="7" ref="N2:N29">P2*0.65</f>
        <v>1.8571428571428572</v>
      </c>
      <c r="O2">
        <f aca="true" t="shared" si="8" ref="O2:O29">Q2*1.15</f>
        <v>1.4785714285714286</v>
      </c>
      <c r="P2">
        <f aca="true" t="shared" si="9" ref="P2:P29">2*G2</f>
        <v>2.857142857142857</v>
      </c>
      <c r="Q2">
        <f aca="true" t="shared" si="10" ref="Q2:Q29">0.9*G2</f>
        <v>1.2857142857142858</v>
      </c>
      <c r="R2">
        <v>3.5</v>
      </c>
    </row>
    <row r="3" spans="1:18" ht="12.75">
      <c r="A3">
        <f aca="true" t="shared" si="11" ref="A3:A29">A2-0.1</f>
        <v>3.4</v>
      </c>
      <c r="B3">
        <f aca="true" t="shared" si="12" ref="B3:B29">C2/A2*(A2-A3)*0.04</f>
        <v>0.00022857142857142878</v>
      </c>
      <c r="C3" s="9">
        <f aca="true" t="shared" si="13" ref="C3:C29">C2-B3</f>
        <v>0.19977142857142857</v>
      </c>
      <c r="D3" s="14">
        <f aca="true" t="shared" si="14" ref="D3:D29">E2/A2*(A2-A3)*0.1</f>
        <v>1.4285714285714299E-05</v>
      </c>
      <c r="E3" s="10">
        <f aca="true" t="shared" si="15" ref="E3:E29">E2-D3</f>
        <v>0.004985714285714286</v>
      </c>
      <c r="F3" s="12">
        <f t="shared" si="0"/>
        <v>0.058756302521008406</v>
      </c>
      <c r="G3" s="23">
        <f t="shared" si="1"/>
        <v>1.4663865546218489</v>
      </c>
      <c r="H3" s="9">
        <f t="shared" si="2"/>
        <v>0.11751260504201681</v>
      </c>
      <c r="I3" s="9">
        <f t="shared" si="3"/>
        <v>0.1762689075630252</v>
      </c>
      <c r="J3" s="9">
        <f t="shared" si="4"/>
        <v>0.47005042016806725</v>
      </c>
      <c r="K3">
        <f aca="true" t="shared" si="16" ref="K3:K29">H3*1.7</f>
        <v>0.19977142857142857</v>
      </c>
      <c r="L3">
        <f t="shared" si="5"/>
        <v>0.014101512605042017</v>
      </c>
      <c r="M3">
        <f t="shared" si="6"/>
        <v>0.8798319327731093</v>
      </c>
      <c r="N3">
        <f t="shared" si="7"/>
        <v>1.9063025210084035</v>
      </c>
      <c r="O3">
        <f t="shared" si="8"/>
        <v>1.5177100840336135</v>
      </c>
      <c r="P3">
        <f t="shared" si="9"/>
        <v>2.9327731092436977</v>
      </c>
      <c r="Q3">
        <f t="shared" si="10"/>
        <v>1.319747899159664</v>
      </c>
      <c r="R3">
        <f aca="true" t="shared" si="17" ref="R3:R29">R2-0.1</f>
        <v>3.4</v>
      </c>
    </row>
    <row r="4" spans="1:18" ht="12.75">
      <c r="A4">
        <f t="shared" si="11"/>
        <v>3.3</v>
      </c>
      <c r="B4">
        <f t="shared" si="12"/>
        <v>0.00023502521008403384</v>
      </c>
      <c r="C4" s="9">
        <f t="shared" si="13"/>
        <v>0.19953640336134454</v>
      </c>
      <c r="D4" s="14">
        <f t="shared" si="14"/>
        <v>1.4663865546218505E-05</v>
      </c>
      <c r="E4" s="10">
        <f t="shared" si="15"/>
        <v>0.004971050420168067</v>
      </c>
      <c r="F4" s="12">
        <f t="shared" si="0"/>
        <v>0.060465576776165014</v>
      </c>
      <c r="G4" s="23">
        <f t="shared" si="1"/>
        <v>1.5063789152024447</v>
      </c>
      <c r="H4" s="9">
        <f t="shared" si="2"/>
        <v>0.12093115355233003</v>
      </c>
      <c r="I4" s="9">
        <f t="shared" si="3"/>
        <v>0.18139673032849504</v>
      </c>
      <c r="J4" s="9">
        <f t="shared" si="4"/>
        <v>0.4837246142093201</v>
      </c>
      <c r="K4">
        <f t="shared" si="16"/>
        <v>0.20558296103896104</v>
      </c>
      <c r="L4">
        <f t="shared" si="5"/>
        <v>0.014511738426279603</v>
      </c>
      <c r="M4">
        <f t="shared" si="6"/>
        <v>0.9038273491214668</v>
      </c>
      <c r="N4">
        <f t="shared" si="7"/>
        <v>1.9582925897631782</v>
      </c>
      <c r="O4">
        <f t="shared" si="8"/>
        <v>1.5591021772345302</v>
      </c>
      <c r="P4">
        <f t="shared" si="9"/>
        <v>3.0127578304048894</v>
      </c>
      <c r="Q4">
        <f t="shared" si="10"/>
        <v>1.3557410236822003</v>
      </c>
      <c r="R4">
        <f t="shared" si="17"/>
        <v>3.3</v>
      </c>
    </row>
    <row r="5" spans="1:18" ht="12.75">
      <c r="A5">
        <f t="shared" si="11"/>
        <v>3.1999999999999997</v>
      </c>
      <c r="B5">
        <f t="shared" si="12"/>
        <v>0.00024186230710466027</v>
      </c>
      <c r="C5" s="9">
        <f t="shared" si="13"/>
        <v>0.19929454105423988</v>
      </c>
      <c r="D5" s="14">
        <f t="shared" si="14"/>
        <v>1.5063789152024462E-05</v>
      </c>
      <c r="E5" s="10">
        <f t="shared" si="15"/>
        <v>0.004955986631016043</v>
      </c>
      <c r="F5" s="12">
        <f t="shared" si="0"/>
        <v>0.06227954407944997</v>
      </c>
      <c r="G5" s="23">
        <f t="shared" si="1"/>
        <v>1.5487458221925137</v>
      </c>
      <c r="H5" s="9">
        <f t="shared" si="2"/>
        <v>0.12455908815889993</v>
      </c>
      <c r="I5" s="9">
        <f t="shared" si="3"/>
        <v>0.1868386322383499</v>
      </c>
      <c r="J5" s="9">
        <f t="shared" si="4"/>
        <v>0.49823635263559973</v>
      </c>
      <c r="K5" s="9">
        <f t="shared" si="16"/>
        <v>0.2117504498701299</v>
      </c>
      <c r="L5" s="9">
        <f t="shared" si="5"/>
        <v>0.014947090579067991</v>
      </c>
      <c r="M5" s="9">
        <f t="shared" si="6"/>
        <v>0.9292474933155082</v>
      </c>
      <c r="N5" s="9">
        <f t="shared" si="7"/>
        <v>2.0133695688502677</v>
      </c>
      <c r="O5" s="9">
        <f t="shared" si="8"/>
        <v>1.6029519259692515</v>
      </c>
      <c r="P5">
        <f t="shared" si="9"/>
        <v>3.0974916443850273</v>
      </c>
      <c r="Q5" s="9">
        <f t="shared" si="10"/>
        <v>1.3938712399732622</v>
      </c>
      <c r="R5">
        <f t="shared" si="17"/>
        <v>3.1999999999999997</v>
      </c>
    </row>
    <row r="6" spans="1:18" ht="12.75">
      <c r="A6">
        <f t="shared" si="11"/>
        <v>3.0999999999999996</v>
      </c>
      <c r="B6">
        <f t="shared" si="12"/>
        <v>0.0002491181763178001</v>
      </c>
      <c r="C6" s="9">
        <f t="shared" si="13"/>
        <v>0.1990454228779221</v>
      </c>
      <c r="D6" s="14">
        <f t="shared" si="14"/>
        <v>1.548745822192515E-05</v>
      </c>
      <c r="E6" s="10">
        <f t="shared" si="15"/>
        <v>0.004940499172794118</v>
      </c>
      <c r="F6" s="12">
        <f t="shared" si="0"/>
        <v>0.06420820092836198</v>
      </c>
      <c r="G6" s="23">
        <f t="shared" si="1"/>
        <v>1.5937094105787477</v>
      </c>
      <c r="H6" s="9">
        <f t="shared" si="2"/>
        <v>0.12841640185672396</v>
      </c>
      <c r="I6" s="9">
        <f t="shared" si="3"/>
        <v>0.19262460278508592</v>
      </c>
      <c r="J6" s="9">
        <f t="shared" si="4"/>
        <v>0.5136656074268958</v>
      </c>
      <c r="K6" s="9">
        <f t="shared" si="16"/>
        <v>0.2183078831564307</v>
      </c>
      <c r="L6" s="9">
        <f t="shared" si="5"/>
        <v>0.015409968222806873</v>
      </c>
      <c r="M6" s="9">
        <f t="shared" si="6"/>
        <v>0.9562256463472486</v>
      </c>
      <c r="N6" s="9">
        <f t="shared" si="7"/>
        <v>2.071822233752372</v>
      </c>
      <c r="O6" s="9">
        <f t="shared" si="8"/>
        <v>1.6494892399490038</v>
      </c>
      <c r="P6">
        <f t="shared" si="9"/>
        <v>3.1874188211574954</v>
      </c>
      <c r="Q6" s="9">
        <f t="shared" si="10"/>
        <v>1.434338469520873</v>
      </c>
      <c r="R6">
        <f t="shared" si="17"/>
        <v>3.0999999999999996</v>
      </c>
    </row>
    <row r="7" spans="1:18" ht="12.75">
      <c r="A7">
        <f t="shared" si="11"/>
        <v>2.9999999999999996</v>
      </c>
      <c r="B7">
        <f t="shared" si="12"/>
        <v>0.00025683280371344814</v>
      </c>
      <c r="C7" s="9">
        <f t="shared" si="13"/>
        <v>0.19878859007420865</v>
      </c>
      <c r="D7" s="14">
        <f t="shared" si="14"/>
        <v>1.5937094105787494E-05</v>
      </c>
      <c r="E7" s="10">
        <f t="shared" si="15"/>
        <v>0.0049245620786883305</v>
      </c>
      <c r="F7" s="12">
        <f t="shared" si="0"/>
        <v>0.06626286335806957</v>
      </c>
      <c r="G7" s="23">
        <f t="shared" si="1"/>
        <v>1.6415206928961104</v>
      </c>
      <c r="H7" s="9">
        <f t="shared" si="2"/>
        <v>0.13252572671613913</v>
      </c>
      <c r="I7" s="9">
        <f t="shared" si="3"/>
        <v>0.19878859007420868</v>
      </c>
      <c r="J7" s="9">
        <f t="shared" si="4"/>
        <v>0.5301029068645565</v>
      </c>
      <c r="K7" s="9">
        <f t="shared" si="16"/>
        <v>0.22529373541743652</v>
      </c>
      <c r="L7" s="9">
        <f t="shared" si="5"/>
        <v>0.015903087205936695</v>
      </c>
      <c r="M7" s="9">
        <f t="shared" si="6"/>
        <v>0.9849124157376662</v>
      </c>
      <c r="N7" s="9">
        <f t="shared" si="7"/>
        <v>2.1339769007649436</v>
      </c>
      <c r="O7" s="9">
        <f t="shared" si="8"/>
        <v>1.698973917147474</v>
      </c>
      <c r="P7">
        <f t="shared" si="9"/>
        <v>3.2830413857922207</v>
      </c>
      <c r="Q7" s="9">
        <f t="shared" si="10"/>
        <v>1.4773686236064993</v>
      </c>
      <c r="R7">
        <f t="shared" si="17"/>
        <v>2.9999999999999996</v>
      </c>
    </row>
    <row r="8" spans="1:18" ht="12.75">
      <c r="A8">
        <f t="shared" si="11"/>
        <v>2.8999999999999995</v>
      </c>
      <c r="B8">
        <f t="shared" si="12"/>
        <v>0.0002650514534322785</v>
      </c>
      <c r="C8" s="9">
        <f t="shared" si="13"/>
        <v>0.19852353862077637</v>
      </c>
      <c r="D8" s="14">
        <f t="shared" si="14"/>
        <v>1.6415206928961116E-05</v>
      </c>
      <c r="E8" s="10">
        <f t="shared" si="15"/>
        <v>0.004908146871759369</v>
      </c>
      <c r="F8" s="12">
        <f t="shared" si="0"/>
        <v>0.06845639262785394</v>
      </c>
      <c r="G8" s="23">
        <f t="shared" si="1"/>
        <v>1.6924644385377137</v>
      </c>
      <c r="H8" s="9">
        <f t="shared" si="2"/>
        <v>0.13691278525570788</v>
      </c>
      <c r="I8" s="9">
        <f t="shared" si="3"/>
        <v>0.20536917788356182</v>
      </c>
      <c r="J8" s="9">
        <f t="shared" si="4"/>
        <v>0.5476511410228315</v>
      </c>
      <c r="K8" s="9">
        <f t="shared" si="16"/>
        <v>0.23275173493470339</v>
      </c>
      <c r="L8" s="9">
        <f t="shared" si="5"/>
        <v>0.016429534230684946</v>
      </c>
      <c r="M8" s="9">
        <f t="shared" si="6"/>
        <v>1.0154786631226282</v>
      </c>
      <c r="N8" s="9">
        <f t="shared" si="7"/>
        <v>2.200203770099028</v>
      </c>
      <c r="O8" s="9">
        <f t="shared" si="8"/>
        <v>1.7517006938865336</v>
      </c>
      <c r="P8">
        <f t="shared" si="9"/>
        <v>3.3849288770754273</v>
      </c>
      <c r="Q8" s="9">
        <f t="shared" si="10"/>
        <v>1.5232179946839424</v>
      </c>
      <c r="R8">
        <f t="shared" si="17"/>
        <v>2.8999999999999995</v>
      </c>
    </row>
    <row r="9" spans="1:18" ht="12.75">
      <c r="A9">
        <f t="shared" si="11"/>
        <v>2.7999999999999994</v>
      </c>
      <c r="B9">
        <f t="shared" si="12"/>
        <v>0.000273825570511416</v>
      </c>
      <c r="C9" s="9">
        <f t="shared" si="13"/>
        <v>0.19824971305026495</v>
      </c>
      <c r="D9" s="14">
        <f t="shared" si="14"/>
        <v>1.6924644385377156E-05</v>
      </c>
      <c r="E9" s="10">
        <f t="shared" si="15"/>
        <v>0.004891222227373992</v>
      </c>
      <c r="F9" s="12">
        <f t="shared" si="0"/>
        <v>0.07080346894652322</v>
      </c>
      <c r="G9" s="23">
        <f t="shared" si="1"/>
        <v>1.7468650812049973</v>
      </c>
      <c r="H9" s="9">
        <f t="shared" si="2"/>
        <v>0.14160693789304643</v>
      </c>
      <c r="I9" s="9">
        <f t="shared" si="3"/>
        <v>0.21241040683956963</v>
      </c>
      <c r="J9" s="9">
        <f t="shared" si="4"/>
        <v>0.5664277515721857</v>
      </c>
      <c r="K9" s="9">
        <f t="shared" si="16"/>
        <v>0.24073179441817893</v>
      </c>
      <c r="L9" s="9">
        <f t="shared" si="5"/>
        <v>0.016992832547165573</v>
      </c>
      <c r="M9" s="9">
        <f t="shared" si="6"/>
        <v>1.0481190487229983</v>
      </c>
      <c r="N9" s="9">
        <f t="shared" si="7"/>
        <v>2.2709246055664964</v>
      </c>
      <c r="O9" s="9">
        <f t="shared" si="8"/>
        <v>1.808005359047172</v>
      </c>
      <c r="P9">
        <f t="shared" si="9"/>
        <v>3.4937301624099946</v>
      </c>
      <c r="Q9" s="9">
        <f t="shared" si="10"/>
        <v>1.5721785730844975</v>
      </c>
      <c r="R9">
        <f t="shared" si="17"/>
        <v>2.7999999999999994</v>
      </c>
    </row>
    <row r="10" spans="1:18" ht="12.75">
      <c r="A10">
        <f t="shared" si="11"/>
        <v>2.6999999999999993</v>
      </c>
      <c r="B10">
        <f t="shared" si="12"/>
        <v>0.0002832138757860931</v>
      </c>
      <c r="C10" s="9">
        <f t="shared" si="13"/>
        <v>0.19796649917447887</v>
      </c>
      <c r="D10" s="14">
        <f t="shared" si="14"/>
        <v>1.746865081204999E-05</v>
      </c>
      <c r="E10" s="10">
        <f t="shared" si="15"/>
        <v>0.004873753576561942</v>
      </c>
      <c r="F10" s="12">
        <f t="shared" si="0"/>
        <v>0.07332092562017738</v>
      </c>
      <c r="G10" s="23">
        <f t="shared" si="1"/>
        <v>1.805093917245164</v>
      </c>
      <c r="H10" s="9">
        <f t="shared" si="2"/>
        <v>0.14664185124035475</v>
      </c>
      <c r="I10" s="9">
        <f t="shared" si="3"/>
        <v>0.21996277686053212</v>
      </c>
      <c r="J10" s="9">
        <f t="shared" si="4"/>
        <v>0.586567404961419</v>
      </c>
      <c r="K10" s="9">
        <f t="shared" si="16"/>
        <v>0.24929114710860306</v>
      </c>
      <c r="L10" s="9">
        <f t="shared" si="5"/>
        <v>0.01759702214884257</v>
      </c>
      <c r="M10" s="9">
        <f t="shared" si="6"/>
        <v>1.0830563503470985</v>
      </c>
      <c r="N10" s="9">
        <f t="shared" si="7"/>
        <v>2.3466220924187136</v>
      </c>
      <c r="O10" s="9">
        <f t="shared" si="8"/>
        <v>1.8682722043487447</v>
      </c>
      <c r="P10">
        <f t="shared" si="9"/>
        <v>3.610187834490328</v>
      </c>
      <c r="Q10" s="9">
        <f t="shared" si="10"/>
        <v>1.6245845255206477</v>
      </c>
      <c r="R10">
        <f t="shared" si="17"/>
        <v>2.6999999999999993</v>
      </c>
    </row>
    <row r="11" spans="1:18" ht="12.75">
      <c r="A11">
        <f t="shared" si="11"/>
        <v>2.599999999999999</v>
      </c>
      <c r="B11">
        <f t="shared" si="12"/>
        <v>0.00029328370248070976</v>
      </c>
      <c r="C11" s="9">
        <f t="shared" si="13"/>
        <v>0.19767321547199815</v>
      </c>
      <c r="D11" s="14">
        <f t="shared" si="14"/>
        <v>1.8050939172451656E-05</v>
      </c>
      <c r="E11" s="10">
        <f t="shared" si="15"/>
        <v>0.00485570263738949</v>
      </c>
      <c r="F11" s="12">
        <f t="shared" si="0"/>
        <v>0.07602815979692239</v>
      </c>
      <c r="G11" s="23">
        <f t="shared" si="1"/>
        <v>1.867577937457497</v>
      </c>
      <c r="H11" s="9">
        <f t="shared" si="2"/>
        <v>0.15205631959384477</v>
      </c>
      <c r="I11" s="9">
        <f t="shared" si="3"/>
        <v>0.22808447939076715</v>
      </c>
      <c r="J11" s="9">
        <f t="shared" si="4"/>
        <v>0.6082252783753791</v>
      </c>
      <c r="K11" s="9">
        <f t="shared" si="16"/>
        <v>0.2584957433095361</v>
      </c>
      <c r="L11" s="9">
        <f t="shared" si="5"/>
        <v>0.018246758351261372</v>
      </c>
      <c r="M11" s="9">
        <f t="shared" si="6"/>
        <v>1.1205467624744982</v>
      </c>
      <c r="N11" s="9">
        <f t="shared" si="7"/>
        <v>2.427851318694746</v>
      </c>
      <c r="O11" s="9">
        <f t="shared" si="8"/>
        <v>1.9329431652685094</v>
      </c>
      <c r="P11">
        <f t="shared" si="9"/>
        <v>3.735155874914994</v>
      </c>
      <c r="Q11" s="9">
        <f t="shared" si="10"/>
        <v>1.6808201437117474</v>
      </c>
      <c r="R11">
        <f t="shared" si="17"/>
        <v>2.599999999999999</v>
      </c>
    </row>
    <row r="12" spans="1:18" ht="12.75">
      <c r="A12">
        <f t="shared" si="11"/>
        <v>2.499999999999999</v>
      </c>
      <c r="B12">
        <f t="shared" si="12"/>
        <v>0.0003041126391876898</v>
      </c>
      <c r="C12" s="9">
        <f t="shared" si="13"/>
        <v>0.19736910283281045</v>
      </c>
      <c r="D12" s="14">
        <f t="shared" si="14"/>
        <v>1.8675779374574985E-05</v>
      </c>
      <c r="E12" s="10">
        <f t="shared" si="15"/>
        <v>0.004837026858014915</v>
      </c>
      <c r="F12" s="12">
        <f t="shared" si="0"/>
        <v>0.0789476411331242</v>
      </c>
      <c r="G12" s="23">
        <f t="shared" si="1"/>
        <v>1.9348107432059667</v>
      </c>
      <c r="H12" s="9">
        <f t="shared" si="2"/>
        <v>0.1578952822662484</v>
      </c>
      <c r="I12" s="9">
        <f t="shared" si="3"/>
        <v>0.23684292339937263</v>
      </c>
      <c r="J12" s="9">
        <f t="shared" si="4"/>
        <v>0.6315811290649936</v>
      </c>
      <c r="K12" s="9">
        <f t="shared" si="16"/>
        <v>0.2684219798526223</v>
      </c>
      <c r="L12" s="9">
        <f t="shared" si="5"/>
        <v>0.018947433871949807</v>
      </c>
      <c r="M12" s="9">
        <f t="shared" si="6"/>
        <v>1.16088644592358</v>
      </c>
      <c r="N12" s="9">
        <f t="shared" si="7"/>
        <v>2.515253966167757</v>
      </c>
      <c r="O12" s="9">
        <f t="shared" si="8"/>
        <v>2.0025291192181753</v>
      </c>
      <c r="P12">
        <f t="shared" si="9"/>
        <v>3.8696214864119334</v>
      </c>
      <c r="Q12" s="9">
        <f t="shared" si="10"/>
        <v>1.74132966888537</v>
      </c>
      <c r="R12">
        <f t="shared" si="17"/>
        <v>2.499999999999999</v>
      </c>
    </row>
    <row r="13" spans="1:18" ht="12.75">
      <c r="A13">
        <f t="shared" si="11"/>
        <v>2.399999999999999</v>
      </c>
      <c r="B13">
        <f t="shared" si="12"/>
        <v>0.0003157905645324971</v>
      </c>
      <c r="C13" s="9">
        <f t="shared" si="13"/>
        <v>0.19705331226827796</v>
      </c>
      <c r="D13" s="14">
        <f t="shared" si="14"/>
        <v>1.9348107432059686E-05</v>
      </c>
      <c r="E13" s="10">
        <f t="shared" si="15"/>
        <v>0.004817678750582855</v>
      </c>
      <c r="F13" s="12">
        <f t="shared" si="0"/>
        <v>0.08210554677844918</v>
      </c>
      <c r="G13" s="23">
        <f t="shared" si="1"/>
        <v>2.0073661460761905</v>
      </c>
      <c r="H13" s="9">
        <f t="shared" si="2"/>
        <v>0.16421109355689836</v>
      </c>
      <c r="I13" s="9">
        <f t="shared" si="3"/>
        <v>0.24631664033534756</v>
      </c>
      <c r="J13" s="9">
        <f t="shared" si="4"/>
        <v>0.6568443742275935</v>
      </c>
      <c r="K13" s="9">
        <f t="shared" si="16"/>
        <v>0.2791588590467272</v>
      </c>
      <c r="L13" s="9">
        <f t="shared" si="5"/>
        <v>0.019705331226827803</v>
      </c>
      <c r="M13" s="9">
        <f t="shared" si="6"/>
        <v>1.2044196876457143</v>
      </c>
      <c r="N13" s="9">
        <f t="shared" si="7"/>
        <v>2.6095759898990476</v>
      </c>
      <c r="O13" s="9">
        <f t="shared" si="8"/>
        <v>2.077623961188857</v>
      </c>
      <c r="P13">
        <f t="shared" si="9"/>
        <v>4.014732292152381</v>
      </c>
      <c r="Q13" s="9">
        <f t="shared" si="10"/>
        <v>1.8066295314685714</v>
      </c>
      <c r="R13">
        <f t="shared" si="17"/>
        <v>2.399999999999999</v>
      </c>
    </row>
    <row r="14" spans="1:18" ht="12.75">
      <c r="A14">
        <f t="shared" si="11"/>
        <v>2.299999999999999</v>
      </c>
      <c r="B14">
        <f t="shared" si="12"/>
        <v>0.00032842218711379704</v>
      </c>
      <c r="C14" s="9">
        <f t="shared" si="13"/>
        <v>0.19672489008116417</v>
      </c>
      <c r="D14" s="14">
        <f t="shared" si="14"/>
        <v>2.0073661460761926E-05</v>
      </c>
      <c r="E14" s="10">
        <f t="shared" si="15"/>
        <v>0.004797605089122093</v>
      </c>
      <c r="F14" s="12">
        <f t="shared" si="0"/>
        <v>0.08553256090485403</v>
      </c>
      <c r="G14" s="23">
        <f t="shared" si="1"/>
        <v>2.0859152561400416</v>
      </c>
      <c r="H14" s="9">
        <f t="shared" si="2"/>
        <v>0.17106512180970807</v>
      </c>
      <c r="I14" s="9">
        <f t="shared" si="3"/>
        <v>0.25659768271456207</v>
      </c>
      <c r="J14" s="9">
        <f t="shared" si="4"/>
        <v>0.6842604872388323</v>
      </c>
      <c r="K14" s="9">
        <f t="shared" si="16"/>
        <v>0.2908107070765037</v>
      </c>
      <c r="L14" s="9">
        <f t="shared" si="5"/>
        <v>0.020527814617164967</v>
      </c>
      <c r="M14" s="9">
        <f t="shared" si="6"/>
        <v>1.2515491536840249</v>
      </c>
      <c r="N14" s="9">
        <f t="shared" si="7"/>
        <v>2.7116898329820542</v>
      </c>
      <c r="O14" s="9">
        <f t="shared" si="8"/>
        <v>2.158922290104943</v>
      </c>
      <c r="P14">
        <f t="shared" si="9"/>
        <v>4.171830512280083</v>
      </c>
      <c r="Q14" s="9">
        <f t="shared" si="10"/>
        <v>1.8773237305260375</v>
      </c>
      <c r="R14">
        <f t="shared" si="17"/>
        <v>2.299999999999999</v>
      </c>
    </row>
    <row r="15" spans="1:18" ht="12.75">
      <c r="A15">
        <f t="shared" si="11"/>
        <v>2.199999999999999</v>
      </c>
      <c r="B15">
        <f t="shared" si="12"/>
        <v>0.0003421302436194165</v>
      </c>
      <c r="C15" s="9">
        <f t="shared" si="13"/>
        <v>0.19638275983754475</v>
      </c>
      <c r="D15" s="14">
        <f t="shared" si="14"/>
        <v>2.0859152561400438E-05</v>
      </c>
      <c r="E15" s="10">
        <f t="shared" si="15"/>
        <v>0.0047767459365606925</v>
      </c>
      <c r="F15" s="12">
        <f t="shared" si="0"/>
        <v>0.08926489083524766</v>
      </c>
      <c r="G15" s="23">
        <f t="shared" si="1"/>
        <v>2.171248152982134</v>
      </c>
      <c r="H15" s="9">
        <f t="shared" si="2"/>
        <v>0.17852978167049532</v>
      </c>
      <c r="I15" s="9">
        <f t="shared" si="3"/>
        <v>0.26779467250574296</v>
      </c>
      <c r="J15" s="9">
        <f t="shared" si="4"/>
        <v>0.7141191266819813</v>
      </c>
      <c r="K15" s="9">
        <f t="shared" si="16"/>
        <v>0.303500628839842</v>
      </c>
      <c r="L15" s="9">
        <f t="shared" si="5"/>
        <v>0.02142357380045944</v>
      </c>
      <c r="M15" s="9">
        <f t="shared" si="6"/>
        <v>1.3027488917892802</v>
      </c>
      <c r="N15" s="9">
        <f t="shared" si="7"/>
        <v>2.8226225988767744</v>
      </c>
      <c r="O15" s="9">
        <f t="shared" si="8"/>
        <v>2.2472418383365085</v>
      </c>
      <c r="P15">
        <f t="shared" si="9"/>
        <v>4.342496305964268</v>
      </c>
      <c r="Q15" s="9">
        <f t="shared" si="10"/>
        <v>1.9541233376839207</v>
      </c>
      <c r="R15">
        <f t="shared" si="17"/>
        <v>2.199999999999999</v>
      </c>
    </row>
    <row r="16" spans="1:18" ht="12.75">
      <c r="A16">
        <f t="shared" si="11"/>
        <v>2.0999999999999988</v>
      </c>
      <c r="B16">
        <f t="shared" si="12"/>
        <v>0.000357059563340991</v>
      </c>
      <c r="C16" s="9">
        <f t="shared" si="13"/>
        <v>0.19602570027420377</v>
      </c>
      <c r="D16" s="14">
        <f t="shared" si="14"/>
        <v>2.1712481529821362E-05</v>
      </c>
      <c r="E16" s="10">
        <f t="shared" si="15"/>
        <v>0.004755033455030871</v>
      </c>
      <c r="F16" s="12">
        <f t="shared" si="0"/>
        <v>0.0933455715591447</v>
      </c>
      <c r="G16" s="23">
        <f t="shared" si="1"/>
        <v>2.264301645252797</v>
      </c>
      <c r="H16" s="9">
        <f t="shared" si="2"/>
        <v>0.1866911431182894</v>
      </c>
      <c r="I16" s="9">
        <f t="shared" si="3"/>
        <v>0.28003671467743413</v>
      </c>
      <c r="J16" s="9">
        <f t="shared" si="4"/>
        <v>0.7467645724731576</v>
      </c>
      <c r="K16" s="9">
        <f t="shared" si="16"/>
        <v>0.317374943301092</v>
      </c>
      <c r="L16" s="9">
        <f t="shared" si="5"/>
        <v>0.02240293717419473</v>
      </c>
      <c r="M16" s="9">
        <f t="shared" si="6"/>
        <v>1.3585809871516783</v>
      </c>
      <c r="N16" s="9">
        <f t="shared" si="7"/>
        <v>2.9435921388286364</v>
      </c>
      <c r="O16" s="9">
        <f t="shared" si="8"/>
        <v>2.3435522028366447</v>
      </c>
      <c r="P16">
        <f t="shared" si="9"/>
        <v>4.528603290505594</v>
      </c>
      <c r="Q16" s="9">
        <f t="shared" si="10"/>
        <v>2.0378714807275173</v>
      </c>
      <c r="R16">
        <f t="shared" si="17"/>
        <v>2.0999999999999988</v>
      </c>
    </row>
    <row r="17" spans="1:18" ht="12.75">
      <c r="A17">
        <f t="shared" si="11"/>
        <v>1.9999999999999987</v>
      </c>
      <c r="B17">
        <f t="shared" si="12"/>
        <v>0.0003733822862365792</v>
      </c>
      <c r="C17" s="9">
        <f t="shared" si="13"/>
        <v>0.1956523179879672</v>
      </c>
      <c r="D17" s="14">
        <f t="shared" si="14"/>
        <v>2.2643016452527993E-05</v>
      </c>
      <c r="E17" s="10">
        <f t="shared" si="15"/>
        <v>0.004732390438578343</v>
      </c>
      <c r="F17" s="12">
        <f t="shared" si="0"/>
        <v>0.09782615899398367</v>
      </c>
      <c r="G17" s="23">
        <f t="shared" si="1"/>
        <v>2.3661952192891733</v>
      </c>
      <c r="H17" s="9">
        <f t="shared" si="2"/>
        <v>0.19565231798796734</v>
      </c>
      <c r="I17" s="9">
        <f t="shared" si="3"/>
        <v>0.293478476981951</v>
      </c>
      <c r="J17" s="9">
        <f t="shared" si="4"/>
        <v>0.7826092719518694</v>
      </c>
      <c r="K17" s="9">
        <f t="shared" si="16"/>
        <v>0.3326089405795445</v>
      </c>
      <c r="L17" s="9">
        <f t="shared" si="5"/>
        <v>0.02347827815855608</v>
      </c>
      <c r="M17" s="9">
        <f t="shared" si="6"/>
        <v>1.419717131573504</v>
      </c>
      <c r="N17" s="9">
        <f t="shared" si="7"/>
        <v>3.0760537850759255</v>
      </c>
      <c r="O17" s="9">
        <f t="shared" si="8"/>
        <v>2.4490120519642944</v>
      </c>
      <c r="P17">
        <f t="shared" si="9"/>
        <v>4.732390438578347</v>
      </c>
      <c r="Q17" s="9">
        <f t="shared" si="10"/>
        <v>2.129575697360256</v>
      </c>
      <c r="R17">
        <f t="shared" si="17"/>
        <v>1.9999999999999987</v>
      </c>
    </row>
    <row r="18" spans="1:18" ht="12.75">
      <c r="A18">
        <f t="shared" si="11"/>
        <v>1.8999999999999986</v>
      </c>
      <c r="B18">
        <f t="shared" si="12"/>
        <v>0.000391304635975935</v>
      </c>
      <c r="C18" s="9">
        <f t="shared" si="13"/>
        <v>0.19526101335199125</v>
      </c>
      <c r="D18" s="14">
        <f t="shared" si="14"/>
        <v>2.3661952192891757E-05</v>
      </c>
      <c r="E18" s="10">
        <f t="shared" si="15"/>
        <v>0.004708728486385452</v>
      </c>
      <c r="F18" s="12">
        <f t="shared" si="0"/>
        <v>0.10276895439578494</v>
      </c>
      <c r="G18" s="23">
        <f t="shared" si="1"/>
        <v>2.478278150729187</v>
      </c>
      <c r="H18" s="9">
        <f t="shared" si="2"/>
        <v>0.20553790879156988</v>
      </c>
      <c r="I18" s="9">
        <f t="shared" si="3"/>
        <v>0.30830686318735484</v>
      </c>
      <c r="J18" s="9">
        <f t="shared" si="4"/>
        <v>0.8221516351662795</v>
      </c>
      <c r="K18" s="9">
        <f t="shared" si="16"/>
        <v>0.3494144449456688</v>
      </c>
      <c r="L18" s="9">
        <f t="shared" si="5"/>
        <v>0.024664549054988386</v>
      </c>
      <c r="M18" s="9">
        <f t="shared" si="6"/>
        <v>1.4869668904375122</v>
      </c>
      <c r="N18" s="9">
        <f t="shared" si="7"/>
        <v>3.221761595947943</v>
      </c>
      <c r="O18" s="9">
        <f t="shared" si="8"/>
        <v>2.5650178860047084</v>
      </c>
      <c r="P18">
        <f t="shared" si="9"/>
        <v>4.956556301458374</v>
      </c>
      <c r="Q18" s="9">
        <f t="shared" si="10"/>
        <v>2.2304503356562684</v>
      </c>
      <c r="R18">
        <f t="shared" si="17"/>
        <v>1.8999999999999986</v>
      </c>
    </row>
    <row r="19" spans="1:18" ht="12.75">
      <c r="A19">
        <f t="shared" si="11"/>
        <v>1.7999999999999985</v>
      </c>
      <c r="B19">
        <f t="shared" si="12"/>
        <v>0.00041107581758314014</v>
      </c>
      <c r="C19" s="9">
        <f t="shared" si="13"/>
        <v>0.1948499375344081</v>
      </c>
      <c r="D19" s="14">
        <f t="shared" si="14"/>
        <v>2.4782781507291895E-05</v>
      </c>
      <c r="E19" s="10">
        <f t="shared" si="15"/>
        <v>0.0046839457048781594</v>
      </c>
      <c r="F19" s="12">
        <f t="shared" si="0"/>
        <v>0.10824996529689349</v>
      </c>
      <c r="G19" s="23">
        <f t="shared" si="1"/>
        <v>2.6021920582656466</v>
      </c>
      <c r="H19" s="9">
        <f t="shared" si="2"/>
        <v>0.21649993059378697</v>
      </c>
      <c r="I19" s="9">
        <f t="shared" si="3"/>
        <v>0.3247498958906805</v>
      </c>
      <c r="J19" s="9">
        <f t="shared" si="4"/>
        <v>0.8659997223751479</v>
      </c>
      <c r="K19" s="9">
        <f t="shared" si="16"/>
        <v>0.36804988200943783</v>
      </c>
      <c r="L19" s="9">
        <f t="shared" si="5"/>
        <v>0.025979991671254435</v>
      </c>
      <c r="M19" s="9">
        <f t="shared" si="6"/>
        <v>1.561315234959388</v>
      </c>
      <c r="N19" s="9">
        <f t="shared" si="7"/>
        <v>3.382849675745341</v>
      </c>
      <c r="O19" s="9">
        <f t="shared" si="8"/>
        <v>2.6932687803049444</v>
      </c>
      <c r="P19">
        <f t="shared" si="9"/>
        <v>5.204384116531293</v>
      </c>
      <c r="Q19" s="9">
        <f t="shared" si="10"/>
        <v>2.341972852439082</v>
      </c>
      <c r="R19">
        <f t="shared" si="17"/>
        <v>1.7999999999999985</v>
      </c>
    </row>
    <row r="20" spans="1:18" ht="12.75">
      <c r="A20">
        <f t="shared" si="11"/>
        <v>1.6999999999999984</v>
      </c>
      <c r="B20">
        <f t="shared" si="12"/>
        <v>0.0004329998611875743</v>
      </c>
      <c r="C20" s="9">
        <f t="shared" si="13"/>
        <v>0.19441693767322052</v>
      </c>
      <c r="D20" s="14">
        <f t="shared" si="14"/>
        <v>2.6021920582656485E-05</v>
      </c>
      <c r="E20" s="10">
        <f t="shared" si="15"/>
        <v>0.004657923784295503</v>
      </c>
      <c r="F20" s="12">
        <f t="shared" si="0"/>
        <v>0.11436290451365924</v>
      </c>
      <c r="G20" s="23">
        <f t="shared" si="1"/>
        <v>2.739955167232652</v>
      </c>
      <c r="H20" s="9">
        <f t="shared" si="2"/>
        <v>0.22872580902731848</v>
      </c>
      <c r="I20" s="9">
        <f t="shared" si="3"/>
        <v>0.3430887135409777</v>
      </c>
      <c r="J20" s="9">
        <f t="shared" si="4"/>
        <v>0.9149032361092739</v>
      </c>
      <c r="K20" s="9">
        <f t="shared" si="16"/>
        <v>0.3888338753464414</v>
      </c>
      <c r="L20" s="9">
        <f t="shared" si="5"/>
        <v>0.027447097083278218</v>
      </c>
      <c r="M20" s="9">
        <f t="shared" si="6"/>
        <v>1.643973100339591</v>
      </c>
      <c r="N20" s="9">
        <f t="shared" si="7"/>
        <v>3.5619417174024477</v>
      </c>
      <c r="O20" s="9">
        <f t="shared" si="8"/>
        <v>2.8358535980857944</v>
      </c>
      <c r="P20">
        <f t="shared" si="9"/>
        <v>5.479910334465304</v>
      </c>
      <c r="Q20" s="9">
        <f t="shared" si="10"/>
        <v>2.4659596505093866</v>
      </c>
      <c r="R20">
        <f t="shared" si="17"/>
        <v>1.6999999999999984</v>
      </c>
    </row>
    <row r="21" spans="1:18" ht="12.75">
      <c r="A21">
        <f t="shared" si="11"/>
        <v>1.5999999999999983</v>
      </c>
      <c r="B21">
        <f t="shared" si="12"/>
        <v>0.00045745161805463736</v>
      </c>
      <c r="C21" s="9">
        <f t="shared" si="13"/>
        <v>0.1939594860551659</v>
      </c>
      <c r="D21" s="14">
        <f t="shared" si="14"/>
        <v>2.739955167232654E-05</v>
      </c>
      <c r="E21" s="10">
        <f t="shared" si="15"/>
        <v>0.004630524232623176</v>
      </c>
      <c r="F21" s="12">
        <f t="shared" si="0"/>
        <v>0.1212246787844788</v>
      </c>
      <c r="G21" s="23">
        <f t="shared" si="1"/>
        <v>2.8940776453894883</v>
      </c>
      <c r="H21" s="9">
        <f t="shared" si="2"/>
        <v>0.2424493575689576</v>
      </c>
      <c r="I21" s="9">
        <f t="shared" si="3"/>
        <v>0.3636740363534364</v>
      </c>
      <c r="J21" s="9">
        <f t="shared" si="4"/>
        <v>0.9697974302758304</v>
      </c>
      <c r="K21" s="9">
        <f t="shared" si="16"/>
        <v>0.4121639078672279</v>
      </c>
      <c r="L21" s="9">
        <f t="shared" si="5"/>
        <v>0.02909392290827491</v>
      </c>
      <c r="M21" s="9">
        <f t="shared" si="6"/>
        <v>1.736446587233693</v>
      </c>
      <c r="N21" s="9">
        <f t="shared" si="7"/>
        <v>3.762300939006335</v>
      </c>
      <c r="O21" s="9">
        <f t="shared" si="8"/>
        <v>2.9953703629781203</v>
      </c>
      <c r="P21">
        <f t="shared" si="9"/>
        <v>5.788155290778977</v>
      </c>
      <c r="Q21" s="9">
        <f t="shared" si="10"/>
        <v>2.6046698808505395</v>
      </c>
      <c r="R21">
        <f t="shared" si="17"/>
        <v>1.5999999999999983</v>
      </c>
    </row>
    <row r="22" spans="1:18" ht="12.75">
      <c r="A22">
        <f t="shared" si="11"/>
        <v>1.4999999999999982</v>
      </c>
      <c r="B22">
        <f t="shared" si="12"/>
        <v>0.0004848987151379156</v>
      </c>
      <c r="C22" s="9">
        <f t="shared" si="13"/>
        <v>0.19347458734002798</v>
      </c>
      <c r="D22" s="14">
        <f t="shared" si="14"/>
        <v>2.8940776453894914E-05</v>
      </c>
      <c r="E22" s="10">
        <f t="shared" si="15"/>
        <v>0.004601583456169281</v>
      </c>
      <c r="F22" s="12">
        <f t="shared" si="0"/>
        <v>0.1289830582266855</v>
      </c>
      <c r="G22" s="23">
        <f t="shared" si="1"/>
        <v>3.0677223041128583</v>
      </c>
      <c r="H22" s="9">
        <f t="shared" si="2"/>
        <v>0.257966116453371</v>
      </c>
      <c r="I22" s="9">
        <f t="shared" si="3"/>
        <v>0.38694917468005646</v>
      </c>
      <c r="J22" s="9">
        <f t="shared" si="4"/>
        <v>1.031864465813484</v>
      </c>
      <c r="K22" s="9">
        <f t="shared" si="16"/>
        <v>0.43854239797073064</v>
      </c>
      <c r="L22" s="9">
        <f t="shared" si="5"/>
        <v>0.030955933974404517</v>
      </c>
      <c r="M22" s="9">
        <f t="shared" si="6"/>
        <v>1.8406333824677148</v>
      </c>
      <c r="N22" s="9">
        <f t="shared" si="7"/>
        <v>3.988038995346716</v>
      </c>
      <c r="O22" s="9">
        <f t="shared" si="8"/>
        <v>3.175092584756808</v>
      </c>
      <c r="P22">
        <f t="shared" si="9"/>
        <v>6.135444608225717</v>
      </c>
      <c r="Q22" s="9">
        <f t="shared" si="10"/>
        <v>2.7609500737015726</v>
      </c>
      <c r="R22">
        <f t="shared" si="17"/>
        <v>1.4999999999999982</v>
      </c>
    </row>
    <row r="23" spans="1:18" ht="12.75">
      <c r="A23">
        <f t="shared" si="11"/>
        <v>1.3999999999999981</v>
      </c>
      <c r="B23">
        <f t="shared" si="12"/>
        <v>0.0005159322329067425</v>
      </c>
      <c r="C23" s="9">
        <f t="shared" si="13"/>
        <v>0.19295865510712124</v>
      </c>
      <c r="D23" s="14">
        <f t="shared" si="14"/>
        <v>3.067722304112861E-05</v>
      </c>
      <c r="E23" s="10">
        <f t="shared" si="15"/>
        <v>0.004570906233128153</v>
      </c>
      <c r="F23" s="12">
        <f t="shared" si="0"/>
        <v>0.13782761079080105</v>
      </c>
      <c r="G23" s="23">
        <f t="shared" si="1"/>
        <v>3.2649330236629703</v>
      </c>
      <c r="H23" s="9">
        <f t="shared" si="2"/>
        <v>0.2756552215816021</v>
      </c>
      <c r="I23" s="9">
        <f t="shared" si="3"/>
        <v>0.41348283237240313</v>
      </c>
      <c r="J23" s="9">
        <f t="shared" si="4"/>
        <v>1.1026208863264084</v>
      </c>
      <c r="K23" s="9">
        <f t="shared" si="16"/>
        <v>0.46861387668872356</v>
      </c>
      <c r="L23" s="9">
        <f t="shared" si="5"/>
        <v>0.03307862658979225</v>
      </c>
      <c r="M23" s="9">
        <f t="shared" si="6"/>
        <v>1.9589598141977822</v>
      </c>
      <c r="N23" s="9">
        <f t="shared" si="7"/>
        <v>4.244412930761862</v>
      </c>
      <c r="O23" s="9">
        <f t="shared" si="8"/>
        <v>3.3792056794911742</v>
      </c>
      <c r="P23">
        <f t="shared" si="9"/>
        <v>6.529866047325941</v>
      </c>
      <c r="Q23" s="9">
        <f t="shared" si="10"/>
        <v>2.9384397212966733</v>
      </c>
      <c r="R23">
        <f t="shared" si="17"/>
        <v>1.3999999999999981</v>
      </c>
    </row>
    <row r="24" spans="1:18" ht="12.75">
      <c r="A24">
        <f t="shared" si="11"/>
        <v>1.299999999999998</v>
      </c>
      <c r="B24">
        <f t="shared" si="12"/>
        <v>0.0005513104431632047</v>
      </c>
      <c r="C24" s="9">
        <f t="shared" si="13"/>
        <v>0.19240734466395804</v>
      </c>
      <c r="D24" s="14">
        <f t="shared" si="14"/>
        <v>3.264933023662974E-05</v>
      </c>
      <c r="E24" s="10">
        <f t="shared" si="15"/>
        <v>0.004538256902891523</v>
      </c>
      <c r="F24" s="12">
        <f t="shared" si="0"/>
        <v>0.1480056497415064</v>
      </c>
      <c r="G24" s="23">
        <f t="shared" si="1"/>
        <v>3.4909668483781</v>
      </c>
      <c r="H24" s="9">
        <f t="shared" si="2"/>
        <v>0.2960112994830128</v>
      </c>
      <c r="I24" s="9">
        <f t="shared" si="3"/>
        <v>0.4440169492245192</v>
      </c>
      <c r="J24" s="9">
        <f t="shared" si="4"/>
        <v>1.1840451979320512</v>
      </c>
      <c r="K24" s="9">
        <f t="shared" si="16"/>
        <v>0.5032192091211217</v>
      </c>
      <c r="L24" s="9">
        <f t="shared" si="5"/>
        <v>0.03552135593796153</v>
      </c>
      <c r="M24" s="9">
        <f t="shared" si="6"/>
        <v>2.09458010902686</v>
      </c>
      <c r="N24" s="9">
        <f t="shared" si="7"/>
        <v>4.53825690289153</v>
      </c>
      <c r="O24" s="9">
        <f t="shared" si="8"/>
        <v>3.6131506880713333</v>
      </c>
      <c r="P24">
        <f t="shared" si="9"/>
        <v>6.9819336967562</v>
      </c>
      <c r="Q24" s="9">
        <f t="shared" si="10"/>
        <v>3.14187016354029</v>
      </c>
      <c r="R24">
        <f t="shared" si="17"/>
        <v>1.299999999999998</v>
      </c>
    </row>
    <row r="25" spans="1:18" ht="12.75">
      <c r="A25">
        <f t="shared" si="11"/>
        <v>1.199999999999998</v>
      </c>
      <c r="B25">
        <f t="shared" si="12"/>
        <v>0.0005920225989660262</v>
      </c>
      <c r="C25" s="9">
        <f t="shared" si="13"/>
        <v>0.19181532206499202</v>
      </c>
      <c r="D25" s="14">
        <f t="shared" si="14"/>
        <v>3.490966848378103E-05</v>
      </c>
      <c r="E25" s="10">
        <f t="shared" si="15"/>
        <v>0.004503347234407742</v>
      </c>
      <c r="F25" s="12">
        <f t="shared" si="0"/>
        <v>0.15984610172082694</v>
      </c>
      <c r="G25" s="23">
        <f t="shared" si="1"/>
        <v>3.752789362006458</v>
      </c>
      <c r="H25" s="9">
        <f t="shared" si="2"/>
        <v>0.3196922034416539</v>
      </c>
      <c r="I25" s="9">
        <f t="shared" si="3"/>
        <v>0.47953830516248086</v>
      </c>
      <c r="J25" s="9">
        <f t="shared" si="4"/>
        <v>1.2787688137666156</v>
      </c>
      <c r="K25" s="9">
        <f t="shared" si="16"/>
        <v>0.5434767458508116</v>
      </c>
      <c r="L25" s="9">
        <f t="shared" si="5"/>
        <v>0.038363064412998464</v>
      </c>
      <c r="M25" s="9">
        <f t="shared" si="6"/>
        <v>2.251673617203875</v>
      </c>
      <c r="N25" s="9">
        <f t="shared" si="7"/>
        <v>4.8786261706083955</v>
      </c>
      <c r="O25" s="9">
        <f t="shared" si="8"/>
        <v>3.884136989676684</v>
      </c>
      <c r="P25">
        <f t="shared" si="9"/>
        <v>7.505578724012916</v>
      </c>
      <c r="Q25" s="9">
        <f t="shared" si="10"/>
        <v>3.3775104258058124</v>
      </c>
      <c r="R25">
        <f t="shared" si="17"/>
        <v>1.199999999999998</v>
      </c>
    </row>
    <row r="26" spans="1:18" ht="12.75">
      <c r="A26">
        <f t="shared" si="11"/>
        <v>1.0999999999999979</v>
      </c>
      <c r="B26">
        <f t="shared" si="12"/>
        <v>0.0006393844068833084</v>
      </c>
      <c r="C26" s="9">
        <f t="shared" si="13"/>
        <v>0.19117593765810872</v>
      </c>
      <c r="D26" s="14">
        <f t="shared" si="14"/>
        <v>3.752789362006462E-05</v>
      </c>
      <c r="E26" s="10">
        <f t="shared" si="15"/>
        <v>0.004465819340787677</v>
      </c>
      <c r="F26" s="12">
        <f t="shared" si="0"/>
        <v>0.17379630696191736</v>
      </c>
      <c r="G26" s="23">
        <f t="shared" si="1"/>
        <v>4.059835764352441</v>
      </c>
      <c r="H26" s="9">
        <f t="shared" si="2"/>
        <v>0.3475926139238347</v>
      </c>
      <c r="I26" s="9">
        <f t="shared" si="3"/>
        <v>0.5213889208857521</v>
      </c>
      <c r="J26" s="9">
        <f t="shared" si="4"/>
        <v>1.390370455695339</v>
      </c>
      <c r="K26" s="9">
        <f t="shared" si="16"/>
        <v>0.5909074436705191</v>
      </c>
      <c r="L26" s="9">
        <f t="shared" si="5"/>
        <v>0.04171111367086017</v>
      </c>
      <c r="M26" s="9">
        <f t="shared" si="6"/>
        <v>2.4359014586114647</v>
      </c>
      <c r="N26" s="9">
        <f t="shared" si="7"/>
        <v>5.277786493658174</v>
      </c>
      <c r="O26" s="9">
        <f t="shared" si="8"/>
        <v>4.201930016104777</v>
      </c>
      <c r="P26">
        <f t="shared" si="9"/>
        <v>8.119671528704883</v>
      </c>
      <c r="Q26" s="9">
        <f t="shared" si="10"/>
        <v>3.6538521879171975</v>
      </c>
      <c r="R26">
        <f t="shared" si="17"/>
        <v>1.0999999999999979</v>
      </c>
    </row>
    <row r="27" spans="1:18" ht="12.75">
      <c r="A27">
        <f t="shared" si="11"/>
        <v>0.9999999999999979</v>
      </c>
      <c r="B27">
        <f t="shared" si="12"/>
        <v>0.0006951852278476693</v>
      </c>
      <c r="C27" s="9">
        <f t="shared" si="13"/>
        <v>0.19048075243026105</v>
      </c>
      <c r="D27" s="14">
        <f t="shared" si="14"/>
        <v>4.05983576435244E-05</v>
      </c>
      <c r="E27" s="10">
        <f t="shared" si="15"/>
        <v>0.004425220983144153</v>
      </c>
      <c r="F27" s="12">
        <f t="shared" si="0"/>
        <v>0.19048075243026144</v>
      </c>
      <c r="G27" s="23">
        <f t="shared" si="1"/>
        <v>4.425220983144162</v>
      </c>
      <c r="H27" s="9">
        <f t="shared" si="2"/>
        <v>0.3809615048605229</v>
      </c>
      <c r="I27" s="9">
        <f t="shared" si="3"/>
        <v>0.5714422572907844</v>
      </c>
      <c r="J27" s="9">
        <f t="shared" si="4"/>
        <v>1.5238460194420915</v>
      </c>
      <c r="K27" s="9">
        <f t="shared" si="16"/>
        <v>0.6476345582628888</v>
      </c>
      <c r="L27" s="9">
        <f t="shared" si="5"/>
        <v>0.045715380583262744</v>
      </c>
      <c r="M27" s="9">
        <f t="shared" si="6"/>
        <v>2.655132589886497</v>
      </c>
      <c r="N27" s="9">
        <f t="shared" si="7"/>
        <v>5.7527872780874105</v>
      </c>
      <c r="O27" s="9">
        <f t="shared" si="8"/>
        <v>4.580103717554207</v>
      </c>
      <c r="P27">
        <f t="shared" si="9"/>
        <v>8.850441966288324</v>
      </c>
      <c r="Q27" s="9">
        <f t="shared" si="10"/>
        <v>3.982698884829746</v>
      </c>
      <c r="R27">
        <f t="shared" si="17"/>
        <v>0.9999999999999979</v>
      </c>
    </row>
    <row r="28" spans="1:18" ht="12.75">
      <c r="A28">
        <f t="shared" si="11"/>
        <v>0.8999999999999979</v>
      </c>
      <c r="B28">
        <f t="shared" si="12"/>
        <v>0.0007619230097210455</v>
      </c>
      <c r="C28" s="9">
        <f t="shared" si="13"/>
        <v>0.18971882942054</v>
      </c>
      <c r="D28" s="14">
        <f t="shared" si="14"/>
        <v>4.425220983144161E-05</v>
      </c>
      <c r="E28" s="10">
        <f t="shared" si="15"/>
        <v>0.004380968773312711</v>
      </c>
      <c r="F28" s="12">
        <f t="shared" si="0"/>
        <v>0.21079869935615606</v>
      </c>
      <c r="G28" s="23">
        <f t="shared" si="1"/>
        <v>4.867743081458579</v>
      </c>
      <c r="H28" s="9">
        <f t="shared" si="2"/>
        <v>0.4215973987123121</v>
      </c>
      <c r="I28" s="9">
        <f t="shared" si="3"/>
        <v>0.6323960980684682</v>
      </c>
      <c r="J28" s="9">
        <f t="shared" si="4"/>
        <v>1.6863895948492484</v>
      </c>
      <c r="K28" s="9">
        <f t="shared" si="16"/>
        <v>0.7167155778109305</v>
      </c>
      <c r="L28" s="9">
        <f t="shared" si="5"/>
        <v>0.05059168784547745</v>
      </c>
      <c r="M28" s="9">
        <f t="shared" si="6"/>
        <v>2.9206458488751474</v>
      </c>
      <c r="N28" s="9">
        <f t="shared" si="7"/>
        <v>6.3280660058961535</v>
      </c>
      <c r="O28" s="9">
        <f t="shared" si="8"/>
        <v>5.038114089309629</v>
      </c>
      <c r="P28">
        <f t="shared" si="9"/>
        <v>9.735486162917159</v>
      </c>
      <c r="Q28" s="9">
        <f t="shared" si="10"/>
        <v>4.380968773312722</v>
      </c>
      <c r="R28">
        <f t="shared" si="17"/>
        <v>0.8999999999999979</v>
      </c>
    </row>
    <row r="29" spans="1:18" ht="12.75">
      <c r="A29">
        <f t="shared" si="11"/>
        <v>0.7999999999999979</v>
      </c>
      <c r="B29">
        <f t="shared" si="12"/>
        <v>0.000843194797424624</v>
      </c>
      <c r="C29" s="9">
        <f t="shared" si="13"/>
        <v>0.18887563462311538</v>
      </c>
      <c r="D29" s="14">
        <f t="shared" si="14"/>
        <v>4.8677430814585776E-05</v>
      </c>
      <c r="E29" s="10">
        <f t="shared" si="15"/>
        <v>0.004332291342498125</v>
      </c>
      <c r="F29" s="12">
        <f t="shared" si="0"/>
        <v>0.23609454327889484</v>
      </c>
      <c r="G29" s="23">
        <f t="shared" si="1"/>
        <v>5.41536417812267</v>
      </c>
      <c r="H29" s="9">
        <f t="shared" si="2"/>
        <v>0.4721890865577897</v>
      </c>
      <c r="I29" s="9">
        <f t="shared" si="3"/>
        <v>0.7082836298366846</v>
      </c>
      <c r="J29" s="9">
        <f t="shared" si="4"/>
        <v>1.8887563462311587</v>
      </c>
      <c r="K29" s="9">
        <f t="shared" si="16"/>
        <v>0.8027214471482425</v>
      </c>
      <c r="L29" s="9">
        <f t="shared" si="5"/>
        <v>0.05666269038693476</v>
      </c>
      <c r="M29" s="9">
        <f t="shared" si="6"/>
        <v>3.2492185068736017</v>
      </c>
      <c r="N29" s="9">
        <f t="shared" si="7"/>
        <v>7.039973431559471</v>
      </c>
      <c r="O29" s="9">
        <f t="shared" si="8"/>
        <v>5.604901924356962</v>
      </c>
      <c r="P29">
        <f t="shared" si="9"/>
        <v>10.83072835624534</v>
      </c>
      <c r="Q29" s="9">
        <f t="shared" si="10"/>
        <v>4.8738277603104025</v>
      </c>
      <c r="R29">
        <f t="shared" si="17"/>
        <v>0.7999999999999979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5"/>
  <sheetViews>
    <sheetView zoomScale="75" zoomScaleNormal="75" zoomScalePageLayoutView="0" workbookViewId="0" topLeftCell="A1">
      <pane xSplit="5580" ySplit="1590" topLeftCell="M19" activePane="bottomLeft" state="split"/>
      <selection pane="topLeft" activeCell="E1" sqref="E1:E16384"/>
      <selection pane="topRight" activeCell="I1" sqref="I1"/>
      <selection pane="bottomLeft" activeCell="E8" sqref="E8:E51"/>
      <selection pane="bottomRight" activeCell="AG17" sqref="AG17"/>
    </sheetView>
  </sheetViews>
  <sheetFormatPr defaultColWidth="9.140625" defaultRowHeight="12.75"/>
  <cols>
    <col min="3" max="3" width="5.57421875" style="0" customWidth="1"/>
    <col min="4" max="6" width="10.8515625" style="0" customWidth="1"/>
    <col min="7" max="7" width="10.7109375" style="0" customWidth="1"/>
    <col min="8" max="8" width="10.57421875" style="0" customWidth="1"/>
    <col min="9" max="9" width="10.28125" style="0" customWidth="1"/>
    <col min="10" max="10" width="9.8515625" style="0" customWidth="1"/>
    <col min="11" max="11" width="9.57421875" style="0" customWidth="1"/>
    <col min="12" max="12" width="9.421875" style="0" customWidth="1"/>
    <col min="24" max="24" width="9.421875" style="0" customWidth="1"/>
    <col min="34" max="34" width="10.8515625" style="0" customWidth="1"/>
  </cols>
  <sheetData>
    <row r="1" spans="2:25" ht="12.75">
      <c r="B1" s="6" t="s">
        <v>4</v>
      </c>
      <c r="K1" t="s">
        <v>5</v>
      </c>
      <c r="Q1" t="s">
        <v>6</v>
      </c>
      <c r="Y1" t="s">
        <v>7</v>
      </c>
    </row>
    <row r="2" spans="2:25" ht="12.75">
      <c r="B2" s="6" t="s">
        <v>8</v>
      </c>
      <c r="K2" t="s">
        <v>9</v>
      </c>
      <c r="Q2" t="s">
        <v>10</v>
      </c>
      <c r="Y2" t="s">
        <v>11</v>
      </c>
    </row>
    <row r="3" ht="12.75">
      <c r="B3" s="6"/>
    </row>
    <row r="4" ht="12.75">
      <c r="O4" t="s">
        <v>12</v>
      </c>
    </row>
    <row r="5" spans="2:34" s="7" customFormat="1" ht="14.25">
      <c r="B5" s="7" t="s">
        <v>13</v>
      </c>
      <c r="C5" s="7" t="s">
        <v>14</v>
      </c>
      <c r="D5" s="7" t="s">
        <v>15</v>
      </c>
      <c r="E5" s="7" t="s">
        <v>162</v>
      </c>
      <c r="F5" s="7" t="s">
        <v>158</v>
      </c>
      <c r="J5" s="7" t="s">
        <v>16</v>
      </c>
      <c r="K5" s="7" t="s">
        <v>17</v>
      </c>
      <c r="L5" s="7" t="s">
        <v>18</v>
      </c>
      <c r="M5" s="7" t="s">
        <v>0</v>
      </c>
      <c r="N5" s="7" t="s">
        <v>19</v>
      </c>
      <c r="O5" s="7" t="s">
        <v>20</v>
      </c>
      <c r="P5" s="7" t="s">
        <v>21</v>
      </c>
      <c r="Q5" s="7" t="s">
        <v>22</v>
      </c>
      <c r="R5" s="7" t="s">
        <v>2</v>
      </c>
      <c r="S5" s="7" t="s">
        <v>23</v>
      </c>
      <c r="T5" s="7" t="s">
        <v>24</v>
      </c>
      <c r="U5" s="7" t="s">
        <v>3</v>
      </c>
      <c r="V5" s="7" t="s">
        <v>25</v>
      </c>
      <c r="W5" s="7" t="s">
        <v>26</v>
      </c>
      <c r="X5" s="7" t="s">
        <v>27</v>
      </c>
      <c r="Y5" s="7" t="s">
        <v>28</v>
      </c>
      <c r="Z5" s="7" t="s">
        <v>29</v>
      </c>
      <c r="AA5" s="7" t="s">
        <v>29</v>
      </c>
      <c r="AB5" s="7" t="s">
        <v>29</v>
      </c>
      <c r="AE5" s="8" t="s">
        <v>30</v>
      </c>
      <c r="AF5" s="8" t="s">
        <v>31</v>
      </c>
      <c r="AH5" s="7" t="s">
        <v>15</v>
      </c>
    </row>
    <row r="6" spans="12:34" s="7" customFormat="1" ht="12.75">
      <c r="L6" s="7" t="s">
        <v>32</v>
      </c>
      <c r="M6" s="7" t="s">
        <v>32</v>
      </c>
      <c r="N6" s="7" t="s">
        <v>32</v>
      </c>
      <c r="O6" s="7" t="s">
        <v>33</v>
      </c>
      <c r="P6" s="7" t="s">
        <v>32</v>
      </c>
      <c r="S6" s="7" t="s">
        <v>32</v>
      </c>
      <c r="T6" s="7" t="s">
        <v>32</v>
      </c>
      <c r="U6" s="7" t="s">
        <v>32</v>
      </c>
      <c r="X6" s="7" t="s">
        <v>34</v>
      </c>
      <c r="Z6" s="7" t="s">
        <v>35</v>
      </c>
      <c r="AA6" s="7" t="s">
        <v>36</v>
      </c>
      <c r="AB6" s="7" t="s">
        <v>37</v>
      </c>
      <c r="AE6" s="8" t="s">
        <v>38</v>
      </c>
      <c r="AF6" s="8" t="s">
        <v>38</v>
      </c>
      <c r="AH6" s="7" t="s">
        <v>39</v>
      </c>
    </row>
    <row r="7" spans="12:32" ht="12.75">
      <c r="L7" t="s">
        <v>40</v>
      </c>
      <c r="AE7" s="9"/>
      <c r="AF7" s="9"/>
    </row>
    <row r="8" spans="1:34" ht="12.75">
      <c r="A8">
        <v>22</v>
      </c>
      <c r="B8" t="s">
        <v>41</v>
      </c>
      <c r="C8">
        <v>4</v>
      </c>
      <c r="D8" s="10">
        <f>1/C8</f>
        <v>0.25</v>
      </c>
      <c r="E8" s="10">
        <f>1000*D8</f>
        <v>250</v>
      </c>
      <c r="F8" s="9">
        <f>D8*0.15*1000</f>
        <v>37.5</v>
      </c>
      <c r="I8" s="10"/>
      <c r="J8">
        <v>8.11</v>
      </c>
      <c r="K8">
        <v>547</v>
      </c>
      <c r="L8">
        <v>4.04</v>
      </c>
      <c r="M8">
        <v>2.16</v>
      </c>
      <c r="N8">
        <v>0.36</v>
      </c>
      <c r="Q8">
        <f>N8/M8</f>
        <v>0.16666666666666666</v>
      </c>
      <c r="S8">
        <v>0.16</v>
      </c>
      <c r="T8">
        <v>0</v>
      </c>
      <c r="U8">
        <v>0.36</v>
      </c>
      <c r="W8">
        <v>3.94</v>
      </c>
      <c r="X8">
        <v>430</v>
      </c>
      <c r="Y8">
        <v>7.5</v>
      </c>
      <c r="Z8">
        <v>0.5777</v>
      </c>
      <c r="AA8">
        <v>0.733</v>
      </c>
      <c r="AB8">
        <v>0.592</v>
      </c>
      <c r="AE8" s="9">
        <f>Q8/W8</f>
        <v>0.04230118443316413</v>
      </c>
      <c r="AF8" s="9">
        <f>Y8/W8</f>
        <v>1.9035532994923858</v>
      </c>
      <c r="AH8" s="10">
        <v>0.25</v>
      </c>
    </row>
    <row r="9" spans="1:34" ht="12.75">
      <c r="A9">
        <v>78</v>
      </c>
      <c r="B9" t="s">
        <v>42</v>
      </c>
      <c r="C9" s="7">
        <v>17</v>
      </c>
      <c r="D9" s="10">
        <f>1/C9</f>
        <v>0.058823529411764705</v>
      </c>
      <c r="E9" s="10">
        <f aca="true" t="shared" si="0" ref="E9:E51">1000*D9</f>
        <v>58.8235294117647</v>
      </c>
      <c r="F9" s="9">
        <f aca="true" t="shared" si="1" ref="F9:F51">D9*0.15*1000</f>
        <v>8.823529411764707</v>
      </c>
      <c r="I9" s="10"/>
      <c r="J9" s="9">
        <v>8.4</v>
      </c>
      <c r="K9">
        <v>343</v>
      </c>
      <c r="L9">
        <v>4</v>
      </c>
      <c r="M9">
        <v>1.85</v>
      </c>
      <c r="N9">
        <v>0.47</v>
      </c>
      <c r="Q9">
        <f>N9/M9</f>
        <v>0.254054054054054</v>
      </c>
      <c r="S9">
        <v>0.31</v>
      </c>
      <c r="T9">
        <v>0.04</v>
      </c>
      <c r="U9">
        <v>0.43</v>
      </c>
      <c r="V9">
        <v>0.2</v>
      </c>
      <c r="W9">
        <v>1.4</v>
      </c>
      <c r="X9">
        <v>428</v>
      </c>
      <c r="Y9">
        <v>1.5</v>
      </c>
      <c r="Z9">
        <v>0.798</v>
      </c>
      <c r="AA9">
        <v>0.953</v>
      </c>
      <c r="AB9">
        <v>1.221</v>
      </c>
      <c r="AH9" s="10">
        <v>0.058823529411764705</v>
      </c>
    </row>
    <row r="10" spans="1:34" ht="12.75">
      <c r="A10">
        <v>124</v>
      </c>
      <c r="B10" t="s">
        <v>43</v>
      </c>
      <c r="C10">
        <v>2.4</v>
      </c>
      <c r="D10" s="10">
        <f>1/C10</f>
        <v>0.4166666666666667</v>
      </c>
      <c r="E10" s="10">
        <f t="shared" si="0"/>
        <v>416.6666666666667</v>
      </c>
      <c r="F10" s="9">
        <f t="shared" si="1"/>
        <v>62.5</v>
      </c>
      <c r="I10" s="10"/>
      <c r="M10">
        <v>2.025</v>
      </c>
      <c r="N10">
        <v>0.41</v>
      </c>
      <c r="Q10">
        <f>N10/M10</f>
        <v>0.20246913580246914</v>
      </c>
      <c r="S10">
        <v>0.23</v>
      </c>
      <c r="T10">
        <v>0.01</v>
      </c>
      <c r="U10">
        <v>0.43</v>
      </c>
      <c r="V10">
        <v>0.08</v>
      </c>
      <c r="AH10" s="10">
        <v>0.4166666666666667</v>
      </c>
    </row>
    <row r="11" spans="1:34" ht="12.75">
      <c r="A11">
        <v>159</v>
      </c>
      <c r="B11" t="s">
        <v>44</v>
      </c>
      <c r="C11" s="7" t="s">
        <v>45</v>
      </c>
      <c r="D11" s="10">
        <v>0</v>
      </c>
      <c r="E11" s="10">
        <f t="shared" si="0"/>
        <v>0</v>
      </c>
      <c r="F11" s="9">
        <f t="shared" si="1"/>
        <v>0</v>
      </c>
      <c r="G11" s="10"/>
      <c r="H11" s="10"/>
      <c r="I11" s="10"/>
      <c r="AH11" s="10">
        <v>0.0001</v>
      </c>
    </row>
    <row r="12" spans="1:34" ht="12.75">
      <c r="A12">
        <v>212</v>
      </c>
      <c r="B12" t="s">
        <v>46</v>
      </c>
      <c r="C12" s="7">
        <v>250</v>
      </c>
      <c r="D12" s="10">
        <f aca="true" t="shared" si="2" ref="D12:D47">1/C12</f>
        <v>0.004</v>
      </c>
      <c r="E12" s="10">
        <f t="shared" si="0"/>
        <v>4</v>
      </c>
      <c r="F12" s="9">
        <f t="shared" si="1"/>
        <v>0.6</v>
      </c>
      <c r="G12" s="10"/>
      <c r="H12" s="10"/>
      <c r="I12" s="10"/>
      <c r="AH12" s="10">
        <v>0.004</v>
      </c>
    </row>
    <row r="13" spans="1:34" ht="12.75">
      <c r="A13">
        <v>221</v>
      </c>
      <c r="B13" t="s">
        <v>47</v>
      </c>
      <c r="C13" s="7">
        <v>395</v>
      </c>
      <c r="D13" s="10">
        <f t="shared" si="2"/>
        <v>0.002531645569620253</v>
      </c>
      <c r="E13" s="10">
        <f t="shared" si="0"/>
        <v>2.5316455696202533</v>
      </c>
      <c r="F13" s="9">
        <f t="shared" si="1"/>
        <v>0.37974683544303794</v>
      </c>
      <c r="G13" s="10"/>
      <c r="H13" s="10"/>
      <c r="I13" s="10"/>
      <c r="AH13" s="10">
        <v>0.002531645569620253</v>
      </c>
    </row>
    <row r="14" spans="1:34" ht="12.75">
      <c r="A14">
        <v>257</v>
      </c>
      <c r="B14" t="s">
        <v>48</v>
      </c>
      <c r="C14" s="7">
        <v>1200</v>
      </c>
      <c r="D14" s="10">
        <f t="shared" si="2"/>
        <v>0.0008333333333333334</v>
      </c>
      <c r="E14" s="10">
        <f t="shared" si="0"/>
        <v>0.8333333333333334</v>
      </c>
      <c r="F14" s="9">
        <f t="shared" si="1"/>
        <v>0.125</v>
      </c>
      <c r="G14" s="10"/>
      <c r="H14" s="10"/>
      <c r="I14" s="10"/>
      <c r="AH14" s="10">
        <v>0.0008333333333333334</v>
      </c>
    </row>
    <row r="15" spans="1:34" ht="12.75">
      <c r="A15">
        <v>286</v>
      </c>
      <c r="B15" t="s">
        <v>49</v>
      </c>
      <c r="C15" s="7">
        <v>1800</v>
      </c>
      <c r="D15" s="10">
        <f t="shared" si="2"/>
        <v>0.0005555555555555556</v>
      </c>
      <c r="E15" s="10">
        <f t="shared" si="0"/>
        <v>0.5555555555555556</v>
      </c>
      <c r="F15" s="9">
        <f t="shared" si="1"/>
        <v>0.08333333333333333</v>
      </c>
      <c r="G15" s="10"/>
      <c r="H15" s="10"/>
      <c r="I15" s="10"/>
      <c r="AH15" s="10">
        <v>0.0005555555555555556</v>
      </c>
    </row>
    <row r="16" spans="1:34" ht="12.75">
      <c r="A16">
        <v>306</v>
      </c>
      <c r="B16" t="s">
        <v>50</v>
      </c>
      <c r="C16" s="7">
        <v>2400</v>
      </c>
      <c r="D16" s="10">
        <f t="shared" si="2"/>
        <v>0.0004166666666666667</v>
      </c>
      <c r="E16" s="10">
        <f t="shared" si="0"/>
        <v>0.4166666666666667</v>
      </c>
      <c r="F16" s="9">
        <f t="shared" si="1"/>
        <v>0.0625</v>
      </c>
      <c r="G16" s="10"/>
      <c r="H16" s="10"/>
      <c r="I16" s="10"/>
      <c r="AH16" s="10">
        <v>0.0004166666666666667</v>
      </c>
    </row>
    <row r="17" spans="1:34" ht="12.75">
      <c r="A17">
        <v>326</v>
      </c>
      <c r="B17" t="s">
        <v>51</v>
      </c>
      <c r="C17">
        <v>2400</v>
      </c>
      <c r="D17" s="10">
        <f t="shared" si="2"/>
        <v>0.0004166666666666667</v>
      </c>
      <c r="E17" s="10">
        <f t="shared" si="0"/>
        <v>0.4166666666666667</v>
      </c>
      <c r="F17" s="9">
        <f t="shared" si="1"/>
        <v>0.0625</v>
      </c>
      <c r="G17" s="10"/>
      <c r="H17" s="10"/>
      <c r="I17" s="10"/>
      <c r="AH17" s="10">
        <v>0.0004166666666666667</v>
      </c>
    </row>
    <row r="18" spans="1:34" ht="12.75">
      <c r="A18">
        <v>336</v>
      </c>
      <c r="B18" t="s">
        <v>52</v>
      </c>
      <c r="C18">
        <v>360</v>
      </c>
      <c r="D18" s="10">
        <f t="shared" si="2"/>
        <v>0.002777777777777778</v>
      </c>
      <c r="E18" s="10">
        <f t="shared" si="0"/>
        <v>2.7777777777777777</v>
      </c>
      <c r="F18" s="9">
        <f t="shared" si="1"/>
        <v>0.4166666666666667</v>
      </c>
      <c r="G18" s="10"/>
      <c r="H18" s="10"/>
      <c r="I18" s="10"/>
      <c r="K18">
        <v>488</v>
      </c>
      <c r="AH18" s="10">
        <v>0.002777777777777778</v>
      </c>
    </row>
    <row r="19" spans="1:34" ht="12.75">
      <c r="A19">
        <v>347</v>
      </c>
      <c r="B19" t="s">
        <v>53</v>
      </c>
      <c r="C19">
        <v>96.67</v>
      </c>
      <c r="D19" s="10">
        <f t="shared" si="2"/>
        <v>0.010344470880314472</v>
      </c>
      <c r="E19" s="10">
        <f t="shared" si="0"/>
        <v>10.344470880314471</v>
      </c>
      <c r="F19" s="9">
        <f t="shared" si="1"/>
        <v>1.5516706320471707</v>
      </c>
      <c r="G19">
        <v>324</v>
      </c>
      <c r="H19">
        <v>408.5</v>
      </c>
      <c r="I19">
        <v>39.8</v>
      </c>
      <c r="M19">
        <f>82.6/40</f>
        <v>2.065</v>
      </c>
      <c r="N19">
        <f>12.5/24.3</f>
        <v>0.51440329218107</v>
      </c>
      <c r="O19">
        <v>609</v>
      </c>
      <c r="AH19" s="10">
        <v>0.010344470880314472</v>
      </c>
    </row>
    <row r="20" spans="1:34" ht="12.75">
      <c r="A20">
        <v>357</v>
      </c>
      <c r="B20" t="s">
        <v>54</v>
      </c>
      <c r="C20">
        <f>(3*60)+21.33</f>
        <v>201.32999999999998</v>
      </c>
      <c r="D20" s="10">
        <f t="shared" si="2"/>
        <v>0.004966969651815428</v>
      </c>
      <c r="E20" s="10">
        <f t="shared" si="0"/>
        <v>4.966969651815428</v>
      </c>
      <c r="F20" s="9">
        <f t="shared" si="1"/>
        <v>0.7450454477723142</v>
      </c>
      <c r="AH20" s="10">
        <v>0.004966969651815428</v>
      </c>
    </row>
    <row r="21" spans="1:34" ht="12.75">
      <c r="A21">
        <f>365+3</f>
        <v>368</v>
      </c>
      <c r="B21" t="s">
        <v>55</v>
      </c>
      <c r="C21">
        <v>114.13</v>
      </c>
      <c r="D21" s="10">
        <f t="shared" si="2"/>
        <v>0.008761938140716727</v>
      </c>
      <c r="E21" s="10">
        <f t="shared" si="0"/>
        <v>8.761938140716726</v>
      </c>
      <c r="F21" s="9">
        <f t="shared" si="1"/>
        <v>1.314290721107509</v>
      </c>
      <c r="J21">
        <v>8.05</v>
      </c>
      <c r="K21">
        <v>491</v>
      </c>
      <c r="AH21" s="10">
        <v>0.008761938140716727</v>
      </c>
    </row>
    <row r="22" spans="1:34" ht="12.75">
      <c r="A22">
        <f>375</f>
        <v>375</v>
      </c>
      <c r="B22" t="s">
        <v>56</v>
      </c>
      <c r="C22">
        <v>157.25</v>
      </c>
      <c r="D22" s="10">
        <f t="shared" si="2"/>
        <v>0.006359300476947536</v>
      </c>
      <c r="E22" s="10">
        <f t="shared" si="0"/>
        <v>6.359300476947536</v>
      </c>
      <c r="F22" s="9">
        <f t="shared" si="1"/>
        <v>0.9538950715421304</v>
      </c>
      <c r="J22" s="9">
        <v>8</v>
      </c>
      <c r="AH22" s="10">
        <v>0.006359300476947536</v>
      </c>
    </row>
    <row r="23" spans="1:34" ht="12.75">
      <c r="A23">
        <f>365+24</f>
        <v>389</v>
      </c>
      <c r="B23" t="s">
        <v>57</v>
      </c>
      <c r="C23">
        <f>(3*60)+7.68</f>
        <v>187.68</v>
      </c>
      <c r="D23" s="10">
        <f t="shared" si="2"/>
        <v>0.005328218243819267</v>
      </c>
      <c r="E23" s="10">
        <f t="shared" si="0"/>
        <v>5.328218243819267</v>
      </c>
      <c r="F23" s="9">
        <f t="shared" si="1"/>
        <v>0.79923273657289</v>
      </c>
      <c r="G23">
        <v>326</v>
      </c>
      <c r="H23">
        <v>411.5</v>
      </c>
      <c r="I23">
        <v>64.4</v>
      </c>
      <c r="J23" s="8" t="s">
        <v>58</v>
      </c>
      <c r="L23" s="11" t="s">
        <v>59</v>
      </c>
      <c r="M23" s="11"/>
      <c r="N23">
        <v>0.646</v>
      </c>
      <c r="O23">
        <v>886</v>
      </c>
      <c r="P23">
        <f>O23/88/1000</f>
        <v>0.010068181818181818</v>
      </c>
      <c r="S23">
        <v>0.148</v>
      </c>
      <c r="T23">
        <v>0.00769</v>
      </c>
      <c r="U23">
        <v>1.6338</v>
      </c>
      <c r="V23">
        <v>0.1197</v>
      </c>
      <c r="AH23" s="10">
        <v>0.005328218243819267</v>
      </c>
    </row>
    <row r="24" spans="1:34" ht="12.75">
      <c r="A24">
        <f>365+34</f>
        <v>399</v>
      </c>
      <c r="B24" t="s">
        <v>60</v>
      </c>
      <c r="C24">
        <v>144.03</v>
      </c>
      <c r="D24" s="10">
        <f t="shared" si="2"/>
        <v>0.006942997986530584</v>
      </c>
      <c r="E24" s="10">
        <f t="shared" si="0"/>
        <v>6.942997986530584</v>
      </c>
      <c r="F24" s="9">
        <f t="shared" si="1"/>
        <v>1.0414496979795875</v>
      </c>
      <c r="AH24" s="10">
        <v>0.006942997986530584</v>
      </c>
    </row>
    <row r="25" spans="1:34" ht="12.75">
      <c r="A25">
        <v>400</v>
      </c>
      <c r="B25" t="s">
        <v>61</v>
      </c>
      <c r="C25">
        <v>141.94</v>
      </c>
      <c r="D25" s="10">
        <f t="shared" si="2"/>
        <v>0.0070452303790333945</v>
      </c>
      <c r="E25" s="10">
        <f t="shared" si="0"/>
        <v>7.045230379033394</v>
      </c>
      <c r="F25" s="9">
        <f t="shared" si="1"/>
        <v>1.0567845568550092</v>
      </c>
      <c r="G25">
        <v>322</v>
      </c>
      <c r="H25">
        <v>410.5</v>
      </c>
      <c r="I25">
        <v>37.9</v>
      </c>
      <c r="J25">
        <v>7.31</v>
      </c>
      <c r="K25">
        <v>574</v>
      </c>
      <c r="M25">
        <f>8.9*10/40</f>
        <v>2.225</v>
      </c>
      <c r="N25">
        <v>0.617</v>
      </c>
      <c r="O25">
        <v>527</v>
      </c>
      <c r="P25">
        <f>O25/88/1000</f>
        <v>0.0059886363636363635</v>
      </c>
      <c r="Q25">
        <f>N25/M25</f>
        <v>0.27730337078651685</v>
      </c>
      <c r="R25">
        <f>O25/87.6/M25</f>
        <v>2.703812015802165</v>
      </c>
      <c r="S25">
        <v>0.181</v>
      </c>
      <c r="T25">
        <v>0.0102</v>
      </c>
      <c r="U25">
        <v>1.9239</v>
      </c>
      <c r="V25">
        <v>0.0838</v>
      </c>
      <c r="AH25" s="10">
        <v>0.0070452303790333945</v>
      </c>
    </row>
    <row r="26" spans="1:34" ht="12.75">
      <c r="A26">
        <f>365+46</f>
        <v>411</v>
      </c>
      <c r="B26" t="s">
        <v>62</v>
      </c>
      <c r="C26">
        <v>8.8</v>
      </c>
      <c r="D26" s="10">
        <f t="shared" si="2"/>
        <v>0.11363636363636363</v>
      </c>
      <c r="E26" s="10">
        <f t="shared" si="0"/>
        <v>113.63636363636363</v>
      </c>
      <c r="F26" s="9">
        <f t="shared" si="1"/>
        <v>17.045454545454543</v>
      </c>
      <c r="G26">
        <v>326</v>
      </c>
      <c r="H26">
        <v>405</v>
      </c>
      <c r="I26">
        <v>18.3</v>
      </c>
      <c r="J26">
        <v>8.26</v>
      </c>
      <c r="K26">
        <v>505</v>
      </c>
      <c r="L26">
        <v>3.4</v>
      </c>
      <c r="M26">
        <f>9.6*10/40</f>
        <v>2.4</v>
      </c>
      <c r="N26">
        <f>9.9/24.3</f>
        <v>0.4074074074074074</v>
      </c>
      <c r="O26">
        <v>484</v>
      </c>
      <c r="P26">
        <f>O26/88/1000</f>
        <v>0.0055</v>
      </c>
      <c r="Q26">
        <f>N26/M26</f>
        <v>0.1697530864197531</v>
      </c>
      <c r="R26">
        <f>O26/87.6/M26</f>
        <v>2.3021308980213093</v>
      </c>
      <c r="S26">
        <f>3.1/23</f>
        <v>0.13478260869565217</v>
      </c>
      <c r="T26">
        <f>0.1/39</f>
        <v>0.002564102564102564</v>
      </c>
      <c r="U26">
        <f>18.7/35.5</f>
        <v>0.5267605633802817</v>
      </c>
      <c r="V26">
        <f>4.6*2.8737/96</f>
        <v>0.13769812499999998</v>
      </c>
      <c r="AH26" s="10">
        <v>0.11363636363636363</v>
      </c>
    </row>
    <row r="27" spans="1:34" ht="12.75">
      <c r="A27">
        <f>365+56</f>
        <v>421</v>
      </c>
      <c r="B27" t="s">
        <v>63</v>
      </c>
      <c r="C27">
        <v>0.46</v>
      </c>
      <c r="D27" s="10">
        <f t="shared" si="2"/>
        <v>2.1739130434782608</v>
      </c>
      <c r="E27" s="10">
        <f t="shared" si="0"/>
        <v>2173.9130434782605</v>
      </c>
      <c r="F27" s="9">
        <f t="shared" si="1"/>
        <v>326.08695652173907</v>
      </c>
      <c r="G27">
        <v>326</v>
      </c>
      <c r="H27">
        <v>400</v>
      </c>
      <c r="I27">
        <v>25.2</v>
      </c>
      <c r="J27">
        <v>7.8</v>
      </c>
      <c r="M27">
        <f>11.3*10/40</f>
        <v>2.825</v>
      </c>
      <c r="N27">
        <f>5.1/24.3</f>
        <v>0.20987654320987653</v>
      </c>
      <c r="O27">
        <v>471</v>
      </c>
      <c r="P27">
        <f>O27/88/1000</f>
        <v>0.005352272727272727</v>
      </c>
      <c r="Q27">
        <f>N27/M27</f>
        <v>0.07429258166721292</v>
      </c>
      <c r="R27">
        <f>O27/87.6/M27</f>
        <v>1.9032610013334947</v>
      </c>
      <c r="S27">
        <f>3.2/23</f>
        <v>0.1391304347826087</v>
      </c>
      <c r="T27">
        <f>0.1/39</f>
        <v>0.002564102564102564</v>
      </c>
      <c r="U27">
        <f>21.8/35.5</f>
        <v>0.6140845070422536</v>
      </c>
      <c r="V27">
        <f>3.9*2.8737/96</f>
        <v>0.11674406249999998</v>
      </c>
      <c r="AH27" s="10">
        <v>2.1739130434782608</v>
      </c>
    </row>
    <row r="28" spans="1:34" ht="12.75">
      <c r="A28">
        <f>365+68</f>
        <v>433</v>
      </c>
      <c r="B28" t="s">
        <v>64</v>
      </c>
      <c r="C28">
        <v>5.12</v>
      </c>
      <c r="D28" s="10">
        <f t="shared" si="2"/>
        <v>0.1953125</v>
      </c>
      <c r="E28" s="10">
        <f t="shared" si="0"/>
        <v>195.3125</v>
      </c>
      <c r="F28" s="9">
        <f t="shared" si="1"/>
        <v>29.296875</v>
      </c>
      <c r="AH28" s="10">
        <v>0.1953125</v>
      </c>
    </row>
    <row r="29" spans="1:34" ht="12.75">
      <c r="A29">
        <f>365+78</f>
        <v>443</v>
      </c>
      <c r="B29" t="s">
        <v>65</v>
      </c>
      <c r="C29">
        <v>10.21</v>
      </c>
      <c r="D29" s="10">
        <f t="shared" si="2"/>
        <v>0.0979431929480901</v>
      </c>
      <c r="E29" s="10">
        <f t="shared" si="0"/>
        <v>97.9431929480901</v>
      </c>
      <c r="F29" s="9">
        <f t="shared" si="1"/>
        <v>14.691478942213514</v>
      </c>
      <c r="G29">
        <v>322</v>
      </c>
      <c r="H29">
        <v>396</v>
      </c>
      <c r="I29">
        <v>20.2</v>
      </c>
      <c r="J29" s="7" t="s">
        <v>66</v>
      </c>
      <c r="K29">
        <v>526</v>
      </c>
      <c r="M29">
        <f>9.2*10/40</f>
        <v>2.3</v>
      </c>
      <c r="N29">
        <f>8.6/24.3</f>
        <v>0.35390946502057613</v>
      </c>
      <c r="O29">
        <v>583</v>
      </c>
      <c r="P29">
        <f>O29/88/1000</f>
        <v>0.006625</v>
      </c>
      <c r="Q29">
        <f>N29/M29</f>
        <v>0.15387368044372876</v>
      </c>
      <c r="R29">
        <f>O29/87.6/M29</f>
        <v>2.8935874528489185</v>
      </c>
      <c r="S29">
        <f>3/23</f>
        <v>0.13043478260869565</v>
      </c>
      <c r="T29">
        <f>0</f>
        <v>0</v>
      </c>
      <c r="U29">
        <f>18.6/35.5</f>
        <v>0.5239436619718311</v>
      </c>
      <c r="V29">
        <f>4.7*2.8737/96</f>
        <v>0.1406915625</v>
      </c>
      <c r="AH29" s="10">
        <v>0.0979431929480901</v>
      </c>
    </row>
    <row r="30" spans="1:34" ht="12.75">
      <c r="A30">
        <f>365+87</f>
        <v>452</v>
      </c>
      <c r="B30" t="s">
        <v>67</v>
      </c>
      <c r="C30">
        <v>49.25</v>
      </c>
      <c r="D30" s="10">
        <f t="shared" si="2"/>
        <v>0.02030456852791878</v>
      </c>
      <c r="E30" s="10">
        <f t="shared" si="0"/>
        <v>20.30456852791878</v>
      </c>
      <c r="F30" s="9">
        <f t="shared" si="1"/>
        <v>3.0456852791878166</v>
      </c>
      <c r="G30">
        <v>326</v>
      </c>
      <c r="H30">
        <v>402</v>
      </c>
      <c r="I30">
        <v>15.1</v>
      </c>
      <c r="J30">
        <v>8.07</v>
      </c>
      <c r="K30">
        <v>493</v>
      </c>
      <c r="M30">
        <f>75.8/40</f>
        <v>1.895</v>
      </c>
      <c r="N30">
        <f>11/24.3</f>
        <v>0.45267489711934156</v>
      </c>
      <c r="O30">
        <v>526</v>
      </c>
      <c r="P30">
        <f>O30/88/1000</f>
        <v>0.005977272727272728</v>
      </c>
      <c r="Q30">
        <f>N30/M30</f>
        <v>0.2388785736777528</v>
      </c>
      <c r="R30">
        <f>O30/87.6/M30</f>
        <v>3.168636522451537</v>
      </c>
      <c r="AH30" s="10">
        <v>0.02030456852791878</v>
      </c>
    </row>
    <row r="31" spans="1:34" ht="12.75">
      <c r="A31">
        <f>365+106</f>
        <v>471</v>
      </c>
      <c r="B31" t="s">
        <v>68</v>
      </c>
      <c r="C31">
        <v>89</v>
      </c>
      <c r="D31" s="10">
        <f t="shared" si="2"/>
        <v>0.011235955056179775</v>
      </c>
      <c r="E31" s="10">
        <f t="shared" si="0"/>
        <v>11.235955056179774</v>
      </c>
      <c r="F31" s="9">
        <f t="shared" si="1"/>
        <v>1.6853932584269662</v>
      </c>
      <c r="J31">
        <v>8</v>
      </c>
      <c r="AH31" s="10">
        <v>0.011235955056179775</v>
      </c>
    </row>
    <row r="32" spans="1:34" ht="12.75">
      <c r="A32">
        <f>365+127</f>
        <v>492</v>
      </c>
      <c r="B32" t="s">
        <v>69</v>
      </c>
      <c r="C32">
        <v>174.1</v>
      </c>
      <c r="D32" s="10">
        <f t="shared" si="2"/>
        <v>0.005743825387708214</v>
      </c>
      <c r="E32" s="10">
        <f t="shared" si="0"/>
        <v>5.743825387708214</v>
      </c>
      <c r="F32" s="9">
        <f t="shared" si="1"/>
        <v>0.8615738081562321</v>
      </c>
      <c r="G32">
        <v>326</v>
      </c>
      <c r="H32">
        <v>408</v>
      </c>
      <c r="I32">
        <v>35.8</v>
      </c>
      <c r="M32">
        <f>72.3/40</f>
        <v>1.8074999999999999</v>
      </c>
      <c r="N32">
        <f>11.7/24.3</f>
        <v>0.48148148148148145</v>
      </c>
      <c r="O32">
        <v>559</v>
      </c>
      <c r="P32">
        <f>O32/88/1000</f>
        <v>0.006352272727272727</v>
      </c>
      <c r="Q32">
        <f>N32/M32</f>
        <v>0.2663797961170022</v>
      </c>
      <c r="R32">
        <f>O32/87.6/M32</f>
        <v>3.5304445581260224</v>
      </c>
      <c r="AH32" s="10">
        <v>0.005743825387708214</v>
      </c>
    </row>
    <row r="33" spans="1:34" ht="12.75">
      <c r="A33">
        <f>365+147</f>
        <v>512</v>
      </c>
      <c r="B33" t="s">
        <v>70</v>
      </c>
      <c r="C33">
        <v>125</v>
      </c>
      <c r="D33" s="10">
        <f t="shared" si="2"/>
        <v>0.008</v>
      </c>
      <c r="E33" s="10">
        <f t="shared" si="0"/>
        <v>8</v>
      </c>
      <c r="F33" s="9">
        <f t="shared" si="1"/>
        <v>1.2</v>
      </c>
      <c r="G33">
        <v>322</v>
      </c>
      <c r="H33">
        <v>406.5</v>
      </c>
      <c r="I33">
        <v>20.2</v>
      </c>
      <c r="J33">
        <v>7.8</v>
      </c>
      <c r="M33">
        <f>64.9/40</f>
        <v>1.6225</v>
      </c>
      <c r="N33">
        <f>11.4/24.3</f>
        <v>0.4691358024691358</v>
      </c>
      <c r="O33">
        <v>480</v>
      </c>
      <c r="P33">
        <f>O33/88/1000</f>
        <v>0.005454545454545454</v>
      </c>
      <c r="Q33">
        <f>N33/M33</f>
        <v>0.2891437919686507</v>
      </c>
      <c r="R33">
        <f>O33/87.6/M33</f>
        <v>3.377166135466577</v>
      </c>
      <c r="AH33" s="10">
        <v>0.008</v>
      </c>
    </row>
    <row r="34" spans="1:34" ht="12.75">
      <c r="A34">
        <f>365+167</f>
        <v>532</v>
      </c>
      <c r="B34" t="s">
        <v>71</v>
      </c>
      <c r="C34">
        <v>188.49</v>
      </c>
      <c r="D34" s="10">
        <f t="shared" si="2"/>
        <v>0.0053053212372009126</v>
      </c>
      <c r="E34" s="10">
        <f t="shared" si="0"/>
        <v>5.305321237200912</v>
      </c>
      <c r="F34" s="9">
        <f t="shared" si="1"/>
        <v>0.7957981855801369</v>
      </c>
      <c r="G34">
        <v>322</v>
      </c>
      <c r="H34">
        <v>409</v>
      </c>
      <c r="I34">
        <v>24.5</v>
      </c>
      <c r="J34">
        <v>8.1</v>
      </c>
      <c r="M34">
        <f>85.4/40</f>
        <v>2.1350000000000002</v>
      </c>
      <c r="N34">
        <f>16.6/24.3</f>
        <v>0.6831275720164609</v>
      </c>
      <c r="O34">
        <v>789</v>
      </c>
      <c r="P34">
        <f>O34/88/1000</f>
        <v>0.008965909090909092</v>
      </c>
      <c r="Q34">
        <f>N34/M34</f>
        <v>0.3199660758859301</v>
      </c>
      <c r="R34">
        <f>O34/87.6/M34</f>
        <v>4.218664784575406</v>
      </c>
      <c r="AH34" s="10">
        <v>0.0053053212372009126</v>
      </c>
    </row>
    <row r="35" spans="1:34" ht="12.75">
      <c r="A35">
        <f>365+190</f>
        <v>555</v>
      </c>
      <c r="B35" t="s">
        <v>72</v>
      </c>
      <c r="C35">
        <v>187.29</v>
      </c>
      <c r="D35" s="10">
        <f t="shared" si="2"/>
        <v>0.005339313364301351</v>
      </c>
      <c r="E35" s="10">
        <f t="shared" si="0"/>
        <v>5.3393133643013515</v>
      </c>
      <c r="F35" s="9">
        <f t="shared" si="1"/>
        <v>0.8008970046452026</v>
      </c>
      <c r="G35">
        <v>324</v>
      </c>
      <c r="H35">
        <v>407</v>
      </c>
      <c r="I35">
        <v>22.9</v>
      </c>
      <c r="J35">
        <v>8</v>
      </c>
      <c r="M35">
        <f>72.3/40</f>
        <v>1.8074999999999999</v>
      </c>
      <c r="N35">
        <f>13.4/24.3</f>
        <v>0.551440329218107</v>
      </c>
      <c r="O35">
        <v>635</v>
      </c>
      <c r="P35">
        <f>O35/88/1000</f>
        <v>0.0072159090909090905</v>
      </c>
      <c r="Q35">
        <f>N35/M35</f>
        <v>0.30508455281776325</v>
      </c>
      <c r="R35">
        <f>O35/87.6/M35</f>
        <v>4.010433442593961</v>
      </c>
      <c r="AH35" s="10">
        <v>0.005339313364301351</v>
      </c>
    </row>
    <row r="36" spans="1:34" ht="12.75">
      <c r="A36">
        <f>365+207</f>
        <v>572</v>
      </c>
      <c r="B36" t="s">
        <v>73</v>
      </c>
      <c r="C36">
        <f>(6*60)+30</f>
        <v>390</v>
      </c>
      <c r="D36" s="10">
        <f t="shared" si="2"/>
        <v>0.002564102564102564</v>
      </c>
      <c r="E36" s="10">
        <f t="shared" si="0"/>
        <v>2.5641025641025643</v>
      </c>
      <c r="F36" s="9">
        <f t="shared" si="1"/>
        <v>0.38461538461538464</v>
      </c>
      <c r="G36">
        <v>326</v>
      </c>
      <c r="H36">
        <v>404</v>
      </c>
      <c r="I36">
        <v>28.8</v>
      </c>
      <c r="J36">
        <v>8</v>
      </c>
      <c r="M36">
        <f>77.9/40</f>
        <v>1.9475000000000002</v>
      </c>
      <c r="N36">
        <f>11.7/24.3</f>
        <v>0.48148148148148145</v>
      </c>
      <c r="O36">
        <v>564</v>
      </c>
      <c r="P36">
        <f>O36/88/1000</f>
        <v>0.006409090909090909</v>
      </c>
      <c r="Q36">
        <f>N36/M36</f>
        <v>0.24723054248086337</v>
      </c>
      <c r="R36">
        <f>O36/87.6/M36</f>
        <v>3.305959519580776</v>
      </c>
      <c r="AH36" s="10">
        <v>0.002564102564102564</v>
      </c>
    </row>
    <row r="37" spans="1:34" ht="12.75">
      <c r="A37">
        <f>365+225</f>
        <v>590</v>
      </c>
      <c r="B37" t="s">
        <v>74</v>
      </c>
      <c r="C37">
        <f>(9*60)+52</f>
        <v>592</v>
      </c>
      <c r="D37" s="10">
        <f t="shared" si="2"/>
        <v>0.0016891891891891893</v>
      </c>
      <c r="E37" s="10">
        <f t="shared" si="0"/>
        <v>1.6891891891891893</v>
      </c>
      <c r="F37" s="9">
        <f t="shared" si="1"/>
        <v>0.2533783783783784</v>
      </c>
      <c r="G37">
        <v>326</v>
      </c>
      <c r="H37">
        <v>406</v>
      </c>
      <c r="I37">
        <v>130.3</v>
      </c>
      <c r="J37">
        <v>8.1</v>
      </c>
      <c r="AH37" s="10">
        <v>0.0016891891891891893</v>
      </c>
    </row>
    <row r="38" spans="1:34" ht="12.75">
      <c r="A38">
        <f>365+241</f>
        <v>606</v>
      </c>
      <c r="B38" t="s">
        <v>75</v>
      </c>
      <c r="C38">
        <f>(23*60)+34.52</f>
        <v>1414.52</v>
      </c>
      <c r="D38" s="10">
        <f t="shared" si="2"/>
        <v>0.000706953595565987</v>
      </c>
      <c r="E38" s="10">
        <f t="shared" si="0"/>
        <v>0.706953595565987</v>
      </c>
      <c r="F38" s="9">
        <f t="shared" si="1"/>
        <v>0.10604303933489805</v>
      </c>
      <c r="J38">
        <v>8.3</v>
      </c>
      <c r="AH38" s="10">
        <v>0.000706953595565987</v>
      </c>
    </row>
    <row r="39" spans="1:34" ht="12.75">
      <c r="A39">
        <f>365+251</f>
        <v>616</v>
      </c>
      <c r="B39" t="s">
        <v>76</v>
      </c>
      <c r="C39">
        <v>14.98</v>
      </c>
      <c r="D39" s="10">
        <f t="shared" si="2"/>
        <v>0.06675567423230974</v>
      </c>
      <c r="E39" s="10">
        <f t="shared" si="0"/>
        <v>66.75567423230974</v>
      </c>
      <c r="F39" s="9">
        <f t="shared" si="1"/>
        <v>10.013351134846461</v>
      </c>
      <c r="G39">
        <v>326</v>
      </c>
      <c r="H39">
        <v>405.5</v>
      </c>
      <c r="I39">
        <v>21.5</v>
      </c>
      <c r="J39">
        <v>8</v>
      </c>
      <c r="M39">
        <f>9.4*10/40</f>
        <v>2.35</v>
      </c>
      <c r="N39">
        <f>10.5/24.3</f>
        <v>0.43209876543209874</v>
      </c>
      <c r="O39">
        <v>667</v>
      </c>
      <c r="P39">
        <f>O39/88/1000</f>
        <v>0.007579545454545454</v>
      </c>
      <c r="Q39">
        <f>N39/M39</f>
        <v>0.18387181507748881</v>
      </c>
      <c r="R39">
        <f>O39/87.6/M39</f>
        <v>3.2400660643155543</v>
      </c>
      <c r="S39">
        <f>3.9/23</f>
        <v>0.16956521739130434</v>
      </c>
      <c r="T39">
        <f>0.1/39</f>
        <v>0.002564102564102564</v>
      </c>
      <c r="U39">
        <f>19.53/35.5</f>
        <v>0.5501408450704226</v>
      </c>
      <c r="V39">
        <f>3.8*2.8737/96</f>
        <v>0.113750625</v>
      </c>
      <c r="AH39" s="10">
        <v>0.06675567423230974</v>
      </c>
    </row>
    <row r="40" spans="1:34" ht="12.75">
      <c r="A40">
        <f>626</f>
        <v>626</v>
      </c>
      <c r="B40" t="s">
        <v>77</v>
      </c>
      <c r="C40">
        <v>80.13</v>
      </c>
      <c r="D40" s="10">
        <f t="shared" si="2"/>
        <v>0.012479720454261826</v>
      </c>
      <c r="E40" s="10">
        <f t="shared" si="0"/>
        <v>12.479720454261825</v>
      </c>
      <c r="F40" s="9">
        <f t="shared" si="1"/>
        <v>1.8719580681392738</v>
      </c>
      <c r="J40">
        <v>7.75</v>
      </c>
      <c r="AH40" s="10">
        <v>0.012479720454261826</v>
      </c>
    </row>
    <row r="41" spans="1:34" ht="12.75">
      <c r="A41">
        <v>636</v>
      </c>
      <c r="B41" t="s">
        <v>78</v>
      </c>
      <c r="C41">
        <v>136.69</v>
      </c>
      <c r="D41" s="10">
        <f t="shared" si="2"/>
        <v>0.007315824127587973</v>
      </c>
      <c r="E41" s="10">
        <f t="shared" si="0"/>
        <v>7.315824127587972</v>
      </c>
      <c r="F41" s="9">
        <f t="shared" si="1"/>
        <v>1.0973736191381958</v>
      </c>
      <c r="J41">
        <v>7.61</v>
      </c>
      <c r="AH41" s="10">
        <v>0.007315824127587973</v>
      </c>
    </row>
    <row r="42" spans="1:34" ht="12.75">
      <c r="A42">
        <f>365+281</f>
        <v>646</v>
      </c>
      <c r="B42" t="s">
        <v>79</v>
      </c>
      <c r="C42">
        <v>220</v>
      </c>
      <c r="D42" s="10">
        <f t="shared" si="2"/>
        <v>0.004545454545454545</v>
      </c>
      <c r="E42" s="10">
        <f t="shared" si="0"/>
        <v>4.545454545454545</v>
      </c>
      <c r="F42" s="9">
        <f t="shared" si="1"/>
        <v>0.6818181818181818</v>
      </c>
      <c r="G42">
        <v>316</v>
      </c>
      <c r="H42">
        <v>411.5</v>
      </c>
      <c r="I42">
        <v>76.2</v>
      </c>
      <c r="J42">
        <v>7.96</v>
      </c>
      <c r="AH42" s="10">
        <v>0.004545454545454545</v>
      </c>
    </row>
    <row r="43" spans="1:34" ht="12.75">
      <c r="A43">
        <v>656</v>
      </c>
      <c r="B43" t="s">
        <v>80</v>
      </c>
      <c r="C43">
        <v>28</v>
      </c>
      <c r="D43" s="10">
        <f t="shared" si="2"/>
        <v>0.03571428571428571</v>
      </c>
      <c r="E43" s="10">
        <f t="shared" si="0"/>
        <v>35.714285714285715</v>
      </c>
      <c r="F43" s="9">
        <f t="shared" si="1"/>
        <v>5.357142857142857</v>
      </c>
      <c r="G43">
        <v>326</v>
      </c>
      <c r="H43">
        <v>402</v>
      </c>
      <c r="I43">
        <v>14.8</v>
      </c>
      <c r="J43">
        <v>7.77</v>
      </c>
      <c r="M43">
        <f>90/40</f>
        <v>2.25</v>
      </c>
      <c r="N43">
        <f>9.1/24.3</f>
        <v>0.3744855967078189</v>
      </c>
      <c r="O43">
        <v>672</v>
      </c>
      <c r="P43">
        <f aca="true" t="shared" si="3" ref="P43:P50">O43/88/1000</f>
        <v>0.0076363636363636364</v>
      </c>
      <c r="Q43">
        <f aca="true" t="shared" si="4" ref="Q43:Q50">N43/M43</f>
        <v>0.16643804298125284</v>
      </c>
      <c r="R43">
        <f aca="true" t="shared" si="5" ref="R43:R50">O43/87.6/M43</f>
        <v>3.4094368340943686</v>
      </c>
      <c r="S43">
        <f>3.8/23</f>
        <v>0.16521739130434782</v>
      </c>
      <c r="T43">
        <f>0.1/39</f>
        <v>0.002564102564102564</v>
      </c>
      <c r="U43">
        <f>31.2/35.5</f>
        <v>0.8788732394366197</v>
      </c>
      <c r="V43">
        <f>(2.8737*3.5)/96</f>
        <v>0.1047703125</v>
      </c>
      <c r="AH43" s="10">
        <v>0.03571428571428571</v>
      </c>
    </row>
    <row r="44" spans="1:34" ht="12.75">
      <c r="A44">
        <v>665</v>
      </c>
      <c r="B44" t="s">
        <v>81</v>
      </c>
      <c r="C44">
        <v>109</v>
      </c>
      <c r="D44" s="10">
        <f t="shared" si="2"/>
        <v>0.009174311926605505</v>
      </c>
      <c r="E44" s="10">
        <f t="shared" si="0"/>
        <v>9.174311926605505</v>
      </c>
      <c r="F44" s="9">
        <f t="shared" si="1"/>
        <v>1.3761467889908259</v>
      </c>
      <c r="G44">
        <v>324</v>
      </c>
      <c r="H44">
        <v>415</v>
      </c>
      <c r="I44">
        <v>15.4</v>
      </c>
      <c r="J44">
        <v>7.91</v>
      </c>
      <c r="M44">
        <f>96.6/40</f>
        <v>2.415</v>
      </c>
      <c r="N44">
        <f>14.9/24.3</f>
        <v>0.6131687242798354</v>
      </c>
      <c r="O44">
        <v>806</v>
      </c>
      <c r="P44">
        <f t="shared" si="3"/>
        <v>0.009159090909090908</v>
      </c>
      <c r="Q44">
        <f t="shared" si="4"/>
        <v>0.25390009286949705</v>
      </c>
      <c r="R44">
        <f t="shared" si="5"/>
        <v>3.809901963564858</v>
      </c>
      <c r="AH44" s="10">
        <v>0.009174311926605505</v>
      </c>
    </row>
    <row r="45" spans="1:34" ht="12.75">
      <c r="A45">
        <f>365+321</f>
        <v>686</v>
      </c>
      <c r="B45" t="s">
        <v>82</v>
      </c>
      <c r="C45">
        <v>17</v>
      </c>
      <c r="D45" s="10">
        <f t="shared" si="2"/>
        <v>0.058823529411764705</v>
      </c>
      <c r="E45" s="10">
        <f t="shared" si="0"/>
        <v>58.8235294117647</v>
      </c>
      <c r="F45" s="9">
        <f t="shared" si="1"/>
        <v>8.823529411764707</v>
      </c>
      <c r="G45">
        <v>324</v>
      </c>
      <c r="H45">
        <v>409</v>
      </c>
      <c r="I45">
        <v>24</v>
      </c>
      <c r="J45">
        <v>7.8</v>
      </c>
      <c r="M45">
        <f>95/40</f>
        <v>2.375</v>
      </c>
      <c r="N45">
        <f>9.7/24.3</f>
        <v>0.39917695473251025</v>
      </c>
      <c r="O45">
        <v>615</v>
      </c>
      <c r="P45">
        <f t="shared" si="3"/>
        <v>0.0069886363636363635</v>
      </c>
      <c r="Q45">
        <f t="shared" si="4"/>
        <v>0.1680745072557938</v>
      </c>
      <c r="R45">
        <f t="shared" si="5"/>
        <v>2.9560201874549388</v>
      </c>
      <c r="S45">
        <f>3.8/23</f>
        <v>0.16521739130434782</v>
      </c>
      <c r="T45">
        <f>0.1/39</f>
        <v>0.002564102564102564</v>
      </c>
      <c r="U45">
        <f>16.7/35.5</f>
        <v>0.4704225352112676</v>
      </c>
      <c r="V45">
        <f>(2.8737*4.7)/96</f>
        <v>0.1406915625</v>
      </c>
      <c r="AH45" s="10">
        <v>0.058823529411764705</v>
      </c>
    </row>
    <row r="46" spans="1:34" ht="12.75">
      <c r="A46">
        <f>365+338</f>
        <v>703</v>
      </c>
      <c r="B46" t="s">
        <v>83</v>
      </c>
      <c r="C46">
        <v>6.5</v>
      </c>
      <c r="D46" s="10">
        <f t="shared" si="2"/>
        <v>0.15384615384615385</v>
      </c>
      <c r="E46" s="10">
        <f t="shared" si="0"/>
        <v>153.84615384615387</v>
      </c>
      <c r="F46" s="9">
        <f t="shared" si="1"/>
        <v>23.076923076923077</v>
      </c>
      <c r="G46">
        <v>324</v>
      </c>
      <c r="H46">
        <v>404</v>
      </c>
      <c r="I46">
        <v>16.7</v>
      </c>
      <c r="J46">
        <v>8.35</v>
      </c>
      <c r="K46">
        <v>540</v>
      </c>
      <c r="M46">
        <f>105/40</f>
        <v>2.625</v>
      </c>
      <c r="N46">
        <f>10/24.3</f>
        <v>0.411522633744856</v>
      </c>
      <c r="O46">
        <v>627</v>
      </c>
      <c r="P46">
        <f t="shared" si="3"/>
        <v>0.007125</v>
      </c>
      <c r="Q46">
        <f t="shared" si="4"/>
        <v>0.1567705271408975</v>
      </c>
      <c r="R46">
        <f t="shared" si="5"/>
        <v>2.7266797129810834</v>
      </c>
      <c r="S46">
        <f>4/23</f>
        <v>0.17391304347826086</v>
      </c>
      <c r="T46">
        <f>0.2/39</f>
        <v>0.005128205128205128</v>
      </c>
      <c r="U46">
        <f>16.3/35.5</f>
        <v>0.4591549295774648</v>
      </c>
      <c r="V46">
        <f>(2.8737*4.7)/96</f>
        <v>0.1406915625</v>
      </c>
      <c r="AH46" s="10">
        <v>0.15384615384615385</v>
      </c>
    </row>
    <row r="47" spans="1:34" ht="12.75">
      <c r="A47">
        <f>365+354</f>
        <v>719</v>
      </c>
      <c r="B47" t="s">
        <v>84</v>
      </c>
      <c r="C47">
        <v>5</v>
      </c>
      <c r="D47" s="10">
        <f t="shared" si="2"/>
        <v>0.2</v>
      </c>
      <c r="E47" s="10">
        <f t="shared" si="0"/>
        <v>200</v>
      </c>
      <c r="F47" s="9">
        <f t="shared" si="1"/>
        <v>30</v>
      </c>
      <c r="G47">
        <v>322</v>
      </c>
      <c r="H47">
        <v>407</v>
      </c>
      <c r="I47">
        <v>17.2</v>
      </c>
      <c r="J47">
        <v>7.74</v>
      </c>
      <c r="M47">
        <f>10.4/4</f>
        <v>2.6</v>
      </c>
      <c r="N47">
        <f>8.1/24.3</f>
        <v>0.3333333333333333</v>
      </c>
      <c r="O47">
        <v>702</v>
      </c>
      <c r="P47">
        <f t="shared" si="3"/>
        <v>0.007977272727272727</v>
      </c>
      <c r="Q47">
        <f t="shared" si="4"/>
        <v>0.1282051282051282</v>
      </c>
      <c r="R47">
        <f t="shared" si="5"/>
        <v>3.082191780821918</v>
      </c>
      <c r="S47">
        <f>3.4/23</f>
        <v>0.14782608695652175</v>
      </c>
      <c r="T47">
        <f>0.2/39</f>
        <v>0.005128205128205128</v>
      </c>
      <c r="U47">
        <f>17.7/35.5</f>
        <v>0.49859154929577465</v>
      </c>
      <c r="V47">
        <f>(2.16*2.8737)/96</f>
        <v>0.06465825</v>
      </c>
      <c r="AH47" s="10">
        <v>0.2</v>
      </c>
    </row>
    <row r="48" spans="1:34" ht="12.75">
      <c r="A48">
        <v>738</v>
      </c>
      <c r="B48" t="s">
        <v>85</v>
      </c>
      <c r="C48">
        <v>0.5</v>
      </c>
      <c r="D48" s="12">
        <v>2</v>
      </c>
      <c r="E48" s="10">
        <f t="shared" si="0"/>
        <v>2000</v>
      </c>
      <c r="F48" s="9">
        <f t="shared" si="1"/>
        <v>300</v>
      </c>
      <c r="G48">
        <v>332</v>
      </c>
      <c r="H48">
        <v>415.5</v>
      </c>
      <c r="I48">
        <v>99.1</v>
      </c>
      <c r="J48">
        <v>7.32</v>
      </c>
      <c r="M48">
        <f>12.6/4</f>
        <v>3.15</v>
      </c>
      <c r="N48">
        <f>7.3/24.3</f>
        <v>0.3004115226337448</v>
      </c>
      <c r="O48">
        <v>662</v>
      </c>
      <c r="P48">
        <f t="shared" si="3"/>
        <v>0.007522727272727272</v>
      </c>
      <c r="Q48">
        <f t="shared" si="4"/>
        <v>0.09536873734404598</v>
      </c>
      <c r="R48">
        <f t="shared" si="5"/>
        <v>2.399072262085961</v>
      </c>
      <c r="S48">
        <f>3.9/23</f>
        <v>0.16956521739130434</v>
      </c>
      <c r="T48">
        <f>0.1/39</f>
        <v>0.002564102564102564</v>
      </c>
      <c r="U48" s="13">
        <f>29.5/35.5</f>
        <v>0.8309859154929577</v>
      </c>
      <c r="V48">
        <f>(2.8737*4)/96</f>
        <v>0.1197375</v>
      </c>
      <c r="AH48" s="12">
        <v>2</v>
      </c>
    </row>
    <row r="49" spans="1:34" ht="12.75">
      <c r="A49">
        <v>738</v>
      </c>
      <c r="B49" t="s">
        <v>86</v>
      </c>
      <c r="C49">
        <v>0.5</v>
      </c>
      <c r="D49" s="12">
        <v>2</v>
      </c>
      <c r="E49" s="10">
        <f t="shared" si="0"/>
        <v>2000</v>
      </c>
      <c r="F49" s="9">
        <f t="shared" si="1"/>
        <v>300</v>
      </c>
      <c r="M49">
        <f>12.1/4</f>
        <v>3.025</v>
      </c>
      <c r="N49">
        <f>7.4/24.3</f>
        <v>0.3045267489711934</v>
      </c>
      <c r="O49">
        <v>668</v>
      </c>
      <c r="P49">
        <f t="shared" si="3"/>
        <v>0.007590909090909091</v>
      </c>
      <c r="Q49">
        <f t="shared" si="4"/>
        <v>0.10066999965989866</v>
      </c>
      <c r="R49">
        <f t="shared" si="5"/>
        <v>2.520849843390317</v>
      </c>
      <c r="S49">
        <f>4.1/23</f>
        <v>0.1782608695652174</v>
      </c>
      <c r="T49">
        <v>0</v>
      </c>
      <c r="U49">
        <f>15.8/35.5</f>
        <v>0.4450704225352113</v>
      </c>
      <c r="V49">
        <f>(2.3*2.8737)/96</f>
        <v>0.06884906249999999</v>
      </c>
      <c r="AH49" s="12">
        <v>2</v>
      </c>
    </row>
    <row r="50" spans="1:34" ht="12.75">
      <c r="A50">
        <v>765</v>
      </c>
      <c r="B50" t="s">
        <v>87</v>
      </c>
      <c r="C50">
        <v>52</v>
      </c>
      <c r="D50" s="10">
        <f>1/C50</f>
        <v>0.019230769230769232</v>
      </c>
      <c r="E50" s="10">
        <f t="shared" si="0"/>
        <v>19.230769230769234</v>
      </c>
      <c r="F50" s="9">
        <f t="shared" si="1"/>
        <v>2.8846153846153846</v>
      </c>
      <c r="G50">
        <v>295</v>
      </c>
      <c r="H50">
        <v>405.5</v>
      </c>
      <c r="I50">
        <v>60.2</v>
      </c>
      <c r="M50">
        <f>103.9/40</f>
        <v>2.5975</v>
      </c>
      <c r="N50">
        <f>6/24.3</f>
        <v>0.24691358024691357</v>
      </c>
      <c r="O50">
        <v>632</v>
      </c>
      <c r="P50">
        <f t="shared" si="3"/>
        <v>0.007181818181818182</v>
      </c>
      <c r="Q50">
        <f t="shared" si="4"/>
        <v>0.09505816371392245</v>
      </c>
      <c r="R50">
        <f t="shared" si="5"/>
        <v>2.777521413723241</v>
      </c>
      <c r="S50">
        <f>4.3/23</f>
        <v>0.18695652173913044</v>
      </c>
      <c r="T50">
        <f>0.4/39</f>
        <v>0.010256410256410256</v>
      </c>
      <c r="U50">
        <f>12.2/35.5</f>
        <v>0.3436619718309859</v>
      </c>
      <c r="V50">
        <f>(2.9*2.8737)/96</f>
        <v>0.0868096875</v>
      </c>
      <c r="AH50" s="10">
        <v>0.019230769230769232</v>
      </c>
    </row>
    <row r="51" spans="1:34" ht="12.75">
      <c r="A51">
        <v>789</v>
      </c>
      <c r="B51" t="s">
        <v>88</v>
      </c>
      <c r="C51">
        <v>41</v>
      </c>
      <c r="D51" s="10">
        <f>1/C51</f>
        <v>0.024390243902439025</v>
      </c>
      <c r="E51" s="10">
        <f t="shared" si="0"/>
        <v>24.390243902439025</v>
      </c>
      <c r="F51" s="9">
        <f t="shared" si="1"/>
        <v>3.6585365853658534</v>
      </c>
      <c r="G51">
        <v>305</v>
      </c>
      <c r="H51">
        <v>403.5</v>
      </c>
      <c r="I51">
        <v>28.1</v>
      </c>
      <c r="J51">
        <v>7.91</v>
      </c>
      <c r="AH51" s="10">
        <v>0.024390243902439025</v>
      </c>
    </row>
    <row r="52" spans="4:34" ht="12.75">
      <c r="D52" s="12"/>
      <c r="E52" s="12"/>
      <c r="F52" s="12"/>
      <c r="G52" s="12"/>
      <c r="H52" s="12"/>
      <c r="I52" s="12"/>
      <c r="AH52" s="12"/>
    </row>
    <row r="53" spans="3:34" ht="12.75">
      <c r="C53" t="s">
        <v>89</v>
      </c>
      <c r="D53" s="10">
        <f>AVERAGE(D18:D51)</f>
        <v>0.2143087411739255</v>
      </c>
      <c r="E53" s="10"/>
      <c r="F53" s="10"/>
      <c r="G53" s="12"/>
      <c r="H53" s="12"/>
      <c r="I53" s="12"/>
      <c r="AH53" s="10">
        <v>0.2143087411739255</v>
      </c>
    </row>
    <row r="54" spans="3:34" ht="12.75">
      <c r="C54" t="s">
        <v>90</v>
      </c>
      <c r="D54" s="10">
        <f>STDEV(D18:D51)</f>
        <v>0.5851758439158458</v>
      </c>
      <c r="E54" s="10"/>
      <c r="F54" s="10"/>
      <c r="G54">
        <f>AVERAGE(G19:G48)</f>
        <v>324.3809523809524</v>
      </c>
      <c r="H54">
        <f>AVERAGE(H19:H48)</f>
        <v>406.8333333333333</v>
      </c>
      <c r="I54">
        <f>AVERAGE(I19:I48)</f>
        <v>36.58571428571429</v>
      </c>
      <c r="M54">
        <f>AVERAGE(M19:M48)</f>
        <v>2.266388888888889</v>
      </c>
      <c r="AH54" s="10">
        <v>0.5851758439158458</v>
      </c>
    </row>
    <row r="55" spans="3:34" ht="12.75">
      <c r="C55" t="s">
        <v>91</v>
      </c>
      <c r="D55" s="10">
        <f>D54/D53*100</f>
        <v>273.052718573405</v>
      </c>
      <c r="E55" s="10"/>
      <c r="F55" s="10"/>
      <c r="G55">
        <f>STDEV(G19:G48)</f>
        <v>3.0079260375915604</v>
      </c>
      <c r="H55">
        <f>STDEV(H19:H48)</f>
        <v>4.717873814900688</v>
      </c>
      <c r="I55">
        <f>STDEV(I19:I48)</f>
        <v>30.808509956086574</v>
      </c>
      <c r="M55">
        <f>STDEV(M19:M48)</f>
        <v>0.3856042071543851</v>
      </c>
      <c r="AH55" s="10">
        <v>273.052718573405</v>
      </c>
    </row>
    <row r="56" spans="4:34" ht="12.75">
      <c r="D56" s="12"/>
      <c r="E56" s="12"/>
      <c r="F56" s="12"/>
      <c r="G56" s="12"/>
      <c r="H56" s="12"/>
      <c r="I56" s="12"/>
      <c r="AH56" s="12"/>
    </row>
    <row r="57" spans="4:34" ht="12.75">
      <c r="D57" s="12"/>
      <c r="E57" s="12"/>
      <c r="F57" s="12"/>
      <c r="G57" s="12"/>
      <c r="H57" s="12"/>
      <c r="I57" s="12"/>
      <c r="AH57" s="12"/>
    </row>
    <row r="58" spans="2:34" ht="12.75">
      <c r="B58" t="s">
        <v>92</v>
      </c>
      <c r="D58" s="12">
        <f>MAX(D8:D51)</f>
        <v>2.1739130434782608</v>
      </c>
      <c r="E58" s="12"/>
      <c r="F58" s="12"/>
      <c r="G58" s="12"/>
      <c r="H58" s="12"/>
      <c r="I58" s="12" t="s">
        <v>93</v>
      </c>
      <c r="J58">
        <f aca="true" t="shared" si="6" ref="J58:V58">MIN(J8:J52)</f>
        <v>7.31</v>
      </c>
      <c r="K58">
        <f t="shared" si="6"/>
        <v>343</v>
      </c>
      <c r="L58">
        <f t="shared" si="6"/>
        <v>3.4</v>
      </c>
      <c r="M58">
        <f t="shared" si="6"/>
        <v>1.6225</v>
      </c>
      <c r="N58">
        <f t="shared" si="6"/>
        <v>0.20987654320987653</v>
      </c>
      <c r="O58">
        <f t="shared" si="6"/>
        <v>471</v>
      </c>
      <c r="P58">
        <f t="shared" si="6"/>
        <v>0.005352272727272727</v>
      </c>
      <c r="Q58">
        <f t="shared" si="6"/>
        <v>0.07429258166721292</v>
      </c>
      <c r="R58">
        <f t="shared" si="6"/>
        <v>1.9032610013334947</v>
      </c>
      <c r="S58">
        <f t="shared" si="6"/>
        <v>0.13043478260869565</v>
      </c>
      <c r="T58">
        <f t="shared" si="6"/>
        <v>0</v>
      </c>
      <c r="U58">
        <f t="shared" si="6"/>
        <v>0.3436619718309859</v>
      </c>
      <c r="V58">
        <f t="shared" si="6"/>
        <v>0.06465825</v>
      </c>
      <c r="AH58" s="12">
        <v>2.1739130434782608</v>
      </c>
    </row>
    <row r="59" spans="2:34" ht="12.75">
      <c r="B59" t="s">
        <v>94</v>
      </c>
      <c r="D59" s="14">
        <f>D58/1000*0.15</f>
        <v>0.0003260869565217391</v>
      </c>
      <c r="E59" s="14"/>
      <c r="F59" s="14"/>
      <c r="G59" s="12"/>
      <c r="H59" s="12"/>
      <c r="I59" s="12"/>
      <c r="AH59" s="14">
        <v>0.0003260869565217391</v>
      </c>
    </row>
    <row r="60" spans="4:34" ht="12.75">
      <c r="D60" s="12"/>
      <c r="E60" s="12"/>
      <c r="F60" s="12"/>
      <c r="G60" s="12"/>
      <c r="H60" s="12"/>
      <c r="I60" s="12"/>
      <c r="AH60" s="12"/>
    </row>
    <row r="61" spans="4:34" ht="12.75">
      <c r="D61" s="12"/>
      <c r="E61" s="12"/>
      <c r="F61" s="12"/>
      <c r="G61" s="12"/>
      <c r="H61" s="12"/>
      <c r="I61" s="12"/>
      <c r="AH61" s="12"/>
    </row>
    <row r="62" spans="4:34" ht="12.75">
      <c r="D62" s="12"/>
      <c r="E62" s="12"/>
      <c r="F62" s="12"/>
      <c r="G62" s="12"/>
      <c r="H62" s="12"/>
      <c r="I62" s="12"/>
      <c r="AH62" s="12"/>
    </row>
    <row r="63" spans="4:34" ht="12.75">
      <c r="D63" s="12"/>
      <c r="E63" s="12"/>
      <c r="F63" s="12"/>
      <c r="G63" s="12"/>
      <c r="H63" s="12"/>
      <c r="I63" s="12"/>
      <c r="AH63" s="12"/>
    </row>
    <row r="64" spans="4:34" ht="12.75">
      <c r="D64" s="12"/>
      <c r="E64" s="12"/>
      <c r="F64" s="12"/>
      <c r="G64" s="12"/>
      <c r="H64" s="12"/>
      <c r="I64" s="12"/>
      <c r="AH64" s="12"/>
    </row>
    <row r="65" spans="4:34" ht="12.75">
      <c r="D65" s="12"/>
      <c r="E65" s="12"/>
      <c r="F65" s="12"/>
      <c r="G65" s="12"/>
      <c r="H65" s="12"/>
      <c r="I65" s="12"/>
      <c r="AH65" s="12"/>
    </row>
    <row r="66" spans="4:34" ht="12.75">
      <c r="D66" s="12"/>
      <c r="E66" s="12"/>
      <c r="F66" s="12"/>
      <c r="G66" s="12"/>
      <c r="H66" s="12"/>
      <c r="I66" s="12"/>
      <c r="AH66" s="12"/>
    </row>
    <row r="67" spans="4:34" ht="12.75">
      <c r="D67" s="12"/>
      <c r="E67" s="12"/>
      <c r="F67" s="12"/>
      <c r="G67" s="12"/>
      <c r="H67" s="12"/>
      <c r="I67" s="12"/>
      <c r="AH67" s="12"/>
    </row>
    <row r="68" spans="4:34" ht="12.75">
      <c r="D68" s="12"/>
      <c r="E68" s="12"/>
      <c r="F68" s="12"/>
      <c r="G68" s="12"/>
      <c r="H68" s="12"/>
      <c r="I68" s="12"/>
      <c r="AH68" s="12"/>
    </row>
    <row r="69" spans="4:34" ht="12.75">
      <c r="D69" s="12"/>
      <c r="E69" s="12"/>
      <c r="F69" s="12"/>
      <c r="G69" s="12"/>
      <c r="H69" s="12"/>
      <c r="I69" s="12"/>
      <c r="AH69" s="12"/>
    </row>
    <row r="70" spans="4:34" ht="12.75">
      <c r="D70" s="12"/>
      <c r="E70" s="12"/>
      <c r="F70" s="12"/>
      <c r="G70" s="12"/>
      <c r="H70" s="12"/>
      <c r="I70" s="12"/>
      <c r="AH70" s="12"/>
    </row>
    <row r="71" spans="4:34" ht="12.75">
      <c r="D71" s="12"/>
      <c r="E71" s="12"/>
      <c r="F71" s="12"/>
      <c r="G71" s="12"/>
      <c r="H71" s="12"/>
      <c r="I71" s="12"/>
      <c r="AH71" s="12"/>
    </row>
    <row r="72" spans="4:34" ht="12.75">
      <c r="D72" s="12"/>
      <c r="E72" s="12"/>
      <c r="F72" s="12"/>
      <c r="G72" s="12"/>
      <c r="H72" s="12"/>
      <c r="I72" s="12"/>
      <c r="AH72" s="12"/>
    </row>
    <row r="73" spans="4:34" ht="12.75">
      <c r="D73" s="12"/>
      <c r="E73" s="12"/>
      <c r="F73" s="12"/>
      <c r="G73" s="12"/>
      <c r="H73" s="12"/>
      <c r="I73" s="12"/>
      <c r="AH73" s="12"/>
    </row>
    <row r="74" spans="4:34" ht="12.75">
      <c r="D74" s="12"/>
      <c r="E74" s="12"/>
      <c r="F74" s="12"/>
      <c r="G74" s="12"/>
      <c r="H74" s="12"/>
      <c r="I74" s="12"/>
      <c r="AH74" s="12"/>
    </row>
    <row r="75" spans="4:34" ht="12.75">
      <c r="D75" s="12"/>
      <c r="E75" s="12"/>
      <c r="F75" s="12"/>
      <c r="G75" s="12"/>
      <c r="H75" s="12"/>
      <c r="I75" s="12"/>
      <c r="AH75" s="12"/>
    </row>
    <row r="76" spans="4:34" ht="12.75">
      <c r="D76" s="12"/>
      <c r="E76" s="12"/>
      <c r="F76" s="12"/>
      <c r="G76" s="12"/>
      <c r="H76" s="12"/>
      <c r="I76" s="12"/>
      <c r="AH76" s="12"/>
    </row>
    <row r="77" spans="4:34" ht="12.75">
      <c r="D77" s="12"/>
      <c r="E77" s="12"/>
      <c r="F77" s="12"/>
      <c r="G77" s="12"/>
      <c r="H77" s="12"/>
      <c r="I77" s="12"/>
      <c r="AH77" s="12"/>
    </row>
    <row r="78" spans="4:34" ht="12.75">
      <c r="D78" s="12"/>
      <c r="E78" s="12"/>
      <c r="F78" s="12"/>
      <c r="G78" s="12"/>
      <c r="H78" s="12"/>
      <c r="I78" s="12"/>
      <c r="AH78" s="12"/>
    </row>
    <row r="79" spans="4:34" ht="12.75">
      <c r="D79" s="12"/>
      <c r="E79" s="12"/>
      <c r="F79" s="12"/>
      <c r="G79" s="12"/>
      <c r="H79" s="12"/>
      <c r="I79" s="12"/>
      <c r="AH79" s="12"/>
    </row>
    <row r="80" spans="4:34" ht="12.75">
      <c r="D80" s="12"/>
      <c r="E80" s="12"/>
      <c r="F80" s="12"/>
      <c r="G80" s="12"/>
      <c r="H80" s="12"/>
      <c r="I80" s="12"/>
      <c r="AH80" s="12"/>
    </row>
    <row r="81" spans="4:34" ht="12.75">
      <c r="D81" s="12"/>
      <c r="E81" s="12"/>
      <c r="F81" s="12"/>
      <c r="G81" s="12"/>
      <c r="H81" s="12"/>
      <c r="I81" s="12"/>
      <c r="AH81" s="12"/>
    </row>
    <row r="82" spans="4:34" ht="12.75">
      <c r="D82" s="12"/>
      <c r="E82" s="12"/>
      <c r="F82" s="12"/>
      <c r="G82" s="12"/>
      <c r="H82" s="12"/>
      <c r="I82" s="12"/>
      <c r="AH82" s="12"/>
    </row>
    <row r="83" spans="4:34" ht="12.75">
      <c r="D83" s="12"/>
      <c r="E83" s="12"/>
      <c r="F83" s="12"/>
      <c r="G83" s="12"/>
      <c r="H83" s="12"/>
      <c r="I83" s="12"/>
      <c r="AH83" s="12"/>
    </row>
    <row r="84" spans="4:34" ht="12.75">
      <c r="D84" s="12"/>
      <c r="E84" s="12"/>
      <c r="F84" s="12"/>
      <c r="G84" s="12"/>
      <c r="H84" s="12"/>
      <c r="I84" s="12"/>
      <c r="AH84" s="12"/>
    </row>
    <row r="85" spans="4:34" ht="12.75">
      <c r="D85" s="12"/>
      <c r="E85" s="12"/>
      <c r="F85" s="12"/>
      <c r="G85" s="12"/>
      <c r="H85" s="12"/>
      <c r="I85" s="12"/>
      <c r="AH85" s="12"/>
    </row>
    <row r="86" spans="4:34" ht="12.75">
      <c r="D86" s="12"/>
      <c r="E86" s="12"/>
      <c r="F86" s="12"/>
      <c r="G86" s="12"/>
      <c r="H86" s="12"/>
      <c r="I86" s="12"/>
      <c r="AH86" s="12"/>
    </row>
    <row r="87" spans="4:34" ht="12.75">
      <c r="D87" s="12"/>
      <c r="E87" s="12"/>
      <c r="F87" s="12"/>
      <c r="G87" s="12"/>
      <c r="H87" s="12"/>
      <c r="I87" s="12"/>
      <c r="AH87" s="12"/>
    </row>
    <row r="88" spans="4:34" ht="12.75">
      <c r="D88" s="12"/>
      <c r="E88" s="12"/>
      <c r="F88" s="12"/>
      <c r="G88" s="12"/>
      <c r="H88" s="12"/>
      <c r="I88" s="12"/>
      <c r="AH88" s="12"/>
    </row>
    <row r="89" spans="4:34" ht="12.75">
      <c r="D89" s="12"/>
      <c r="E89" s="12"/>
      <c r="F89" s="12"/>
      <c r="G89" s="12"/>
      <c r="H89" s="12"/>
      <c r="I89" s="12"/>
      <c r="AH89" s="12"/>
    </row>
    <row r="90" spans="4:34" ht="12.75">
      <c r="D90" s="12"/>
      <c r="E90" s="12"/>
      <c r="F90" s="12"/>
      <c r="G90" s="12"/>
      <c r="H90" s="12"/>
      <c r="I90" s="12"/>
      <c r="AH90" s="12"/>
    </row>
    <row r="91" spans="4:34" ht="12.75">
      <c r="D91" s="12"/>
      <c r="E91" s="12"/>
      <c r="F91" s="12"/>
      <c r="G91" s="12"/>
      <c r="H91" s="12"/>
      <c r="I91" s="12"/>
      <c r="AH91" s="12"/>
    </row>
    <row r="92" spans="4:34" ht="12.75">
      <c r="D92" s="12"/>
      <c r="E92" s="12"/>
      <c r="F92" s="12"/>
      <c r="G92" s="12"/>
      <c r="H92" s="12"/>
      <c r="I92" s="12"/>
      <c r="AH92" s="12"/>
    </row>
    <row r="93" spans="4:34" ht="12.75">
      <c r="D93" s="12"/>
      <c r="E93" s="12"/>
      <c r="F93" s="12"/>
      <c r="G93" s="12"/>
      <c r="H93" s="12"/>
      <c r="I93" s="12"/>
      <c r="AH93" s="12"/>
    </row>
    <row r="94" spans="4:34" ht="12.75">
      <c r="D94" s="12"/>
      <c r="E94" s="12"/>
      <c r="F94" s="12"/>
      <c r="G94" s="12"/>
      <c r="H94" s="12"/>
      <c r="I94" s="12"/>
      <c r="AH94" s="12"/>
    </row>
    <row r="95" spans="4:34" ht="12.75">
      <c r="D95" s="12"/>
      <c r="E95" s="12"/>
      <c r="F95" s="12"/>
      <c r="G95" s="12"/>
      <c r="H95" s="12"/>
      <c r="I95" s="12"/>
      <c r="AH95" s="12"/>
    </row>
    <row r="96" spans="4:34" ht="12.75">
      <c r="D96" s="12"/>
      <c r="E96" s="12"/>
      <c r="F96" s="12"/>
      <c r="G96" s="12"/>
      <c r="H96" s="12"/>
      <c r="I96" s="12"/>
      <c r="AH96" s="12"/>
    </row>
    <row r="97" spans="4:34" ht="12.75">
      <c r="D97" s="12"/>
      <c r="E97" s="12"/>
      <c r="F97" s="12"/>
      <c r="G97" s="12"/>
      <c r="H97" s="12"/>
      <c r="I97" s="12"/>
      <c r="AH97" s="12"/>
    </row>
    <row r="98" spans="4:34" ht="12.75">
      <c r="D98" s="12"/>
      <c r="E98" s="12"/>
      <c r="F98" s="12"/>
      <c r="G98" s="12"/>
      <c r="H98" s="12"/>
      <c r="I98" s="12"/>
      <c r="AH98" s="12"/>
    </row>
    <row r="99" spans="4:34" ht="12.75">
      <c r="D99" s="12"/>
      <c r="E99" s="12"/>
      <c r="F99" s="12"/>
      <c r="G99" s="12"/>
      <c r="H99" s="12"/>
      <c r="I99" s="12"/>
      <c r="AH99" s="12"/>
    </row>
    <row r="100" spans="4:34" ht="12.75">
      <c r="D100" s="12"/>
      <c r="E100" s="12"/>
      <c r="F100" s="12"/>
      <c r="G100" s="12"/>
      <c r="H100" s="12"/>
      <c r="I100" s="12"/>
      <c r="AH100" s="12"/>
    </row>
    <row r="101" spans="4:34" ht="12.75">
      <c r="D101" s="12"/>
      <c r="E101" s="12"/>
      <c r="F101" s="12"/>
      <c r="G101" s="12"/>
      <c r="H101" s="12"/>
      <c r="I101" s="12"/>
      <c r="AH101" s="12"/>
    </row>
    <row r="102" spans="4:34" ht="12.75">
      <c r="D102" s="12"/>
      <c r="E102" s="12"/>
      <c r="F102" s="12"/>
      <c r="G102" s="12"/>
      <c r="H102" s="12"/>
      <c r="I102" s="12"/>
      <c r="AH102" s="12"/>
    </row>
    <row r="103" spans="4:34" ht="12.75">
      <c r="D103" s="12"/>
      <c r="E103" s="12"/>
      <c r="F103" s="12"/>
      <c r="G103" s="12"/>
      <c r="H103" s="12"/>
      <c r="I103" s="12"/>
      <c r="AH103" s="12"/>
    </row>
    <row r="104" spans="4:34" ht="12.75">
      <c r="D104" s="12"/>
      <c r="E104" s="12"/>
      <c r="F104" s="12"/>
      <c r="G104" s="12"/>
      <c r="H104" s="12"/>
      <c r="I104" s="12"/>
      <c r="AH104" s="12"/>
    </row>
    <row r="105" spans="4:34" ht="12.75">
      <c r="D105" s="12"/>
      <c r="E105" s="12"/>
      <c r="F105" s="12"/>
      <c r="G105" s="12"/>
      <c r="H105" s="12"/>
      <c r="I105" s="12"/>
      <c r="AH105" s="12"/>
    </row>
    <row r="106" spans="4:34" ht="12.75">
      <c r="D106" s="12"/>
      <c r="E106" s="12"/>
      <c r="F106" s="12"/>
      <c r="G106" s="12"/>
      <c r="H106" s="12"/>
      <c r="I106" s="12"/>
      <c r="AH106" s="12"/>
    </row>
    <row r="107" spans="4:34" ht="12.75">
      <c r="D107" s="12"/>
      <c r="E107" s="12"/>
      <c r="F107" s="12"/>
      <c r="G107" s="12"/>
      <c r="H107" s="12"/>
      <c r="I107" s="12"/>
      <c r="AH107" s="12"/>
    </row>
    <row r="108" spans="4:34" ht="12.75">
      <c r="D108" s="12"/>
      <c r="E108" s="12"/>
      <c r="F108" s="12"/>
      <c r="G108" s="12"/>
      <c r="H108" s="12"/>
      <c r="I108" s="12"/>
      <c r="AH108" s="12"/>
    </row>
    <row r="109" spans="4:34" ht="12.75">
      <c r="D109" s="12"/>
      <c r="E109" s="12"/>
      <c r="F109" s="12"/>
      <c r="G109" s="12"/>
      <c r="H109" s="12"/>
      <c r="I109" s="12"/>
      <c r="AH109" s="12"/>
    </row>
    <row r="110" spans="4:34" ht="12.75">
      <c r="D110" s="12"/>
      <c r="E110" s="12"/>
      <c r="F110" s="12"/>
      <c r="G110" s="12"/>
      <c r="H110" s="12"/>
      <c r="I110" s="12"/>
      <c r="AH110" s="12"/>
    </row>
    <row r="111" spans="4:34" ht="12.75">
      <c r="D111" s="12"/>
      <c r="E111" s="12"/>
      <c r="F111" s="12"/>
      <c r="G111" s="12"/>
      <c r="H111" s="12"/>
      <c r="I111" s="12"/>
      <c r="AH111" s="12"/>
    </row>
    <row r="112" spans="4:34" ht="12.75">
      <c r="D112" s="12"/>
      <c r="E112" s="12"/>
      <c r="F112" s="12"/>
      <c r="G112" s="12"/>
      <c r="H112" s="12"/>
      <c r="I112" s="12"/>
      <c r="AH112" s="12"/>
    </row>
    <row r="113" spans="4:34" ht="12.75">
      <c r="D113" s="12"/>
      <c r="E113" s="12"/>
      <c r="F113" s="12"/>
      <c r="G113" s="12"/>
      <c r="H113" s="12"/>
      <c r="I113" s="12"/>
      <c r="AH113" s="12"/>
    </row>
    <row r="114" spans="4:34" ht="12.75">
      <c r="D114" s="12"/>
      <c r="E114" s="12"/>
      <c r="F114" s="12"/>
      <c r="G114" s="12"/>
      <c r="H114" s="12"/>
      <c r="I114" s="12"/>
      <c r="AH114" s="12"/>
    </row>
    <row r="115" spans="4:34" ht="12.75">
      <c r="D115" s="12"/>
      <c r="E115" s="12"/>
      <c r="F115" s="12"/>
      <c r="G115" s="12"/>
      <c r="H115" s="12"/>
      <c r="I115" s="12"/>
      <c r="AH115" s="12"/>
    </row>
    <row r="116" spans="4:34" ht="12.75">
      <c r="D116" s="12"/>
      <c r="E116" s="12"/>
      <c r="F116" s="12"/>
      <c r="G116" s="12"/>
      <c r="H116" s="12"/>
      <c r="I116" s="12"/>
      <c r="AH116" s="12"/>
    </row>
    <row r="117" spans="4:34" ht="12.75">
      <c r="D117" s="12"/>
      <c r="E117" s="12"/>
      <c r="F117" s="12"/>
      <c r="G117" s="12"/>
      <c r="H117" s="12"/>
      <c r="I117" s="12"/>
      <c r="AH117" s="12"/>
    </row>
    <row r="118" spans="4:34" ht="12.75">
      <c r="D118" s="12"/>
      <c r="E118" s="12"/>
      <c r="F118" s="12"/>
      <c r="G118" s="12"/>
      <c r="H118" s="12"/>
      <c r="I118" s="12"/>
      <c r="AH118" s="12"/>
    </row>
    <row r="119" spans="4:34" ht="12.75">
      <c r="D119" s="12"/>
      <c r="E119" s="12"/>
      <c r="F119" s="12"/>
      <c r="G119" s="12"/>
      <c r="H119" s="12"/>
      <c r="I119" s="12"/>
      <c r="AH119" s="12"/>
    </row>
    <row r="120" spans="4:34" ht="12.75">
      <c r="D120" s="12"/>
      <c r="E120" s="12"/>
      <c r="F120" s="12"/>
      <c r="G120" s="12"/>
      <c r="H120" s="12"/>
      <c r="I120" s="12"/>
      <c r="AH120" s="12"/>
    </row>
    <row r="121" spans="4:34" ht="12.75">
      <c r="D121" s="12"/>
      <c r="E121" s="12"/>
      <c r="F121" s="12"/>
      <c r="G121" s="12"/>
      <c r="H121" s="12"/>
      <c r="I121" s="12"/>
      <c r="AH121" s="12"/>
    </row>
    <row r="122" spans="4:34" ht="12.75">
      <c r="D122" s="12"/>
      <c r="E122" s="12"/>
      <c r="F122" s="12"/>
      <c r="G122" s="12"/>
      <c r="H122" s="12"/>
      <c r="I122" s="12"/>
      <c r="AH122" s="12"/>
    </row>
    <row r="123" spans="4:34" ht="12.75">
      <c r="D123" s="12"/>
      <c r="E123" s="12"/>
      <c r="F123" s="12"/>
      <c r="G123" s="12"/>
      <c r="H123" s="12"/>
      <c r="I123" s="12"/>
      <c r="AH123" s="12"/>
    </row>
    <row r="124" spans="4:34" ht="12.75">
      <c r="D124" s="12"/>
      <c r="E124" s="12"/>
      <c r="F124" s="12"/>
      <c r="G124" s="12"/>
      <c r="H124" s="12"/>
      <c r="I124" s="12"/>
      <c r="AH124" s="12"/>
    </row>
    <row r="125" spans="4:34" ht="12.75">
      <c r="D125" s="12"/>
      <c r="E125" s="12"/>
      <c r="F125" s="12"/>
      <c r="G125" s="12"/>
      <c r="H125" s="12"/>
      <c r="I125" s="12"/>
      <c r="AH125" s="12"/>
    </row>
    <row r="126" spans="4:34" ht="12.75">
      <c r="D126" s="12"/>
      <c r="E126" s="12"/>
      <c r="F126" s="12"/>
      <c r="G126" s="12"/>
      <c r="H126" s="12"/>
      <c r="I126" s="12"/>
      <c r="AH126" s="12"/>
    </row>
    <row r="127" spans="4:34" ht="12.75">
      <c r="D127" s="12"/>
      <c r="E127" s="12"/>
      <c r="F127" s="12"/>
      <c r="G127" s="12"/>
      <c r="H127" s="12"/>
      <c r="I127" s="12"/>
      <c r="AH127" s="12"/>
    </row>
    <row r="128" spans="4:34" ht="12.75">
      <c r="D128" s="12"/>
      <c r="E128" s="12"/>
      <c r="F128" s="12"/>
      <c r="G128" s="12"/>
      <c r="H128" s="12"/>
      <c r="I128" s="12"/>
      <c r="AH128" s="12"/>
    </row>
    <row r="129" spans="4:34" ht="12.75">
      <c r="D129" s="12"/>
      <c r="E129" s="12"/>
      <c r="F129" s="12"/>
      <c r="G129" s="12"/>
      <c r="H129" s="12"/>
      <c r="I129" s="12"/>
      <c r="AH129" s="12"/>
    </row>
    <row r="130" spans="4:34" ht="12.75">
      <c r="D130" s="12"/>
      <c r="E130" s="12"/>
      <c r="F130" s="12"/>
      <c r="G130" s="12"/>
      <c r="H130" s="12"/>
      <c r="I130" s="12"/>
      <c r="AH130" s="12"/>
    </row>
    <row r="131" spans="4:34" ht="12.75">
      <c r="D131" s="12"/>
      <c r="E131" s="12"/>
      <c r="F131" s="12"/>
      <c r="G131" s="12"/>
      <c r="H131" s="12"/>
      <c r="I131" s="12"/>
      <c r="AH131" s="12"/>
    </row>
    <row r="132" spans="4:34" ht="12.75">
      <c r="D132" s="12"/>
      <c r="E132" s="12"/>
      <c r="F132" s="12"/>
      <c r="G132" s="12"/>
      <c r="H132" s="12"/>
      <c r="I132" s="12"/>
      <c r="AH132" s="12"/>
    </row>
    <row r="133" spans="4:34" ht="12.75">
      <c r="D133" s="12"/>
      <c r="E133" s="12"/>
      <c r="F133" s="12"/>
      <c r="G133" s="12"/>
      <c r="H133" s="12"/>
      <c r="I133" s="12"/>
      <c r="AH133" s="12"/>
    </row>
    <row r="134" spans="4:34" ht="12.75">
      <c r="D134" s="12"/>
      <c r="E134" s="12"/>
      <c r="F134" s="12"/>
      <c r="G134" s="12"/>
      <c r="H134" s="12"/>
      <c r="I134" s="12"/>
      <c r="AH134" s="12"/>
    </row>
    <row r="135" spans="4:34" ht="12.75">
      <c r="D135" s="12"/>
      <c r="E135" s="12"/>
      <c r="F135" s="12"/>
      <c r="G135" s="12"/>
      <c r="H135" s="12"/>
      <c r="I135" s="12"/>
      <c r="AH135" s="12"/>
    </row>
    <row r="136" spans="4:34" ht="12.75">
      <c r="D136" s="12"/>
      <c r="E136" s="12"/>
      <c r="F136" s="12"/>
      <c r="G136" s="12"/>
      <c r="H136" s="12"/>
      <c r="I136" s="12"/>
      <c r="AH136" s="12"/>
    </row>
    <row r="137" spans="4:34" ht="12.75">
      <c r="D137" s="12"/>
      <c r="E137" s="12"/>
      <c r="F137" s="12"/>
      <c r="G137" s="12"/>
      <c r="H137" s="12"/>
      <c r="I137" s="12"/>
      <c r="AH137" s="12"/>
    </row>
    <row r="138" spans="4:34" ht="12.75">
      <c r="D138" s="12"/>
      <c r="E138" s="12"/>
      <c r="F138" s="12"/>
      <c r="G138" s="12"/>
      <c r="H138" s="12"/>
      <c r="I138" s="12"/>
      <c r="AH138" s="12"/>
    </row>
    <row r="139" spans="4:34" ht="12.75">
      <c r="D139" s="12"/>
      <c r="E139" s="12"/>
      <c r="F139" s="12"/>
      <c r="G139" s="12"/>
      <c r="H139" s="12"/>
      <c r="I139" s="12"/>
      <c r="AH139" s="12"/>
    </row>
    <row r="140" spans="4:34" ht="12.75">
      <c r="D140" s="12"/>
      <c r="E140" s="12"/>
      <c r="F140" s="12"/>
      <c r="G140" s="12"/>
      <c r="H140" s="12"/>
      <c r="I140" s="12"/>
      <c r="AH140" s="12"/>
    </row>
    <row r="141" spans="4:34" ht="12.75">
      <c r="D141" s="12"/>
      <c r="E141" s="12"/>
      <c r="F141" s="12"/>
      <c r="G141" s="12"/>
      <c r="H141" s="12"/>
      <c r="I141" s="12"/>
      <c r="AH141" s="12"/>
    </row>
    <row r="142" spans="4:34" ht="12.75">
      <c r="D142" s="12"/>
      <c r="E142" s="12"/>
      <c r="F142" s="12"/>
      <c r="G142" s="12"/>
      <c r="H142" s="12"/>
      <c r="I142" s="12"/>
      <c r="AH142" s="12"/>
    </row>
    <row r="143" spans="4:34" ht="12.75">
      <c r="D143" s="12"/>
      <c r="E143" s="12"/>
      <c r="F143" s="12"/>
      <c r="G143" s="12"/>
      <c r="H143" s="12"/>
      <c r="I143" s="12"/>
      <c r="AH143" s="12"/>
    </row>
    <row r="144" spans="4:34" ht="12.75">
      <c r="D144" s="12"/>
      <c r="E144" s="12"/>
      <c r="F144" s="12"/>
      <c r="G144" s="12"/>
      <c r="H144" s="12"/>
      <c r="I144" s="12"/>
      <c r="AH144" s="12"/>
    </row>
    <row r="145" spans="4:34" ht="12.75">
      <c r="D145" s="12"/>
      <c r="E145" s="12"/>
      <c r="F145" s="12"/>
      <c r="G145" s="12"/>
      <c r="H145" s="12"/>
      <c r="I145" s="12"/>
      <c r="AH145" s="12"/>
    </row>
    <row r="146" spans="4:34" ht="12.75">
      <c r="D146" s="12"/>
      <c r="E146" s="12"/>
      <c r="F146" s="12"/>
      <c r="G146" s="12"/>
      <c r="H146" s="12"/>
      <c r="I146" s="12"/>
      <c r="AH146" s="12"/>
    </row>
    <row r="147" spans="4:34" ht="12.75">
      <c r="D147" s="12"/>
      <c r="E147" s="12"/>
      <c r="F147" s="12"/>
      <c r="G147" s="12"/>
      <c r="H147" s="12"/>
      <c r="I147" s="12"/>
      <c r="AH147" s="12"/>
    </row>
    <row r="148" spans="4:34" ht="12.75">
      <c r="D148" s="12"/>
      <c r="E148" s="12"/>
      <c r="F148" s="12"/>
      <c r="G148" s="12"/>
      <c r="H148" s="12"/>
      <c r="I148" s="12"/>
      <c r="AH148" s="12"/>
    </row>
    <row r="149" spans="4:34" ht="12.75">
      <c r="D149" s="12"/>
      <c r="E149" s="12"/>
      <c r="F149" s="12"/>
      <c r="G149" s="12"/>
      <c r="H149" s="12"/>
      <c r="I149" s="12"/>
      <c r="AH149" s="12"/>
    </row>
    <row r="150" spans="4:34" ht="12.75">
      <c r="D150" s="12"/>
      <c r="E150" s="12"/>
      <c r="F150" s="12"/>
      <c r="G150" s="12"/>
      <c r="H150" s="12"/>
      <c r="I150" s="12"/>
      <c r="AH150" s="12"/>
    </row>
    <row r="151" spans="4:34" ht="12.75">
      <c r="D151" s="12"/>
      <c r="E151" s="12"/>
      <c r="F151" s="12"/>
      <c r="G151" s="12"/>
      <c r="H151" s="12"/>
      <c r="I151" s="12"/>
      <c r="AH151" s="12"/>
    </row>
    <row r="152" spans="4:34" ht="12.75">
      <c r="D152" s="12"/>
      <c r="E152" s="12"/>
      <c r="F152" s="12"/>
      <c r="G152" s="12"/>
      <c r="H152" s="12"/>
      <c r="I152" s="12"/>
      <c r="AH152" s="12"/>
    </row>
    <row r="153" spans="4:34" ht="12.75">
      <c r="D153" s="12"/>
      <c r="E153" s="12"/>
      <c r="F153" s="12"/>
      <c r="G153" s="12"/>
      <c r="H153" s="12"/>
      <c r="I153" s="12"/>
      <c r="AH153" s="12"/>
    </row>
    <row r="154" spans="4:34" ht="12.75">
      <c r="D154" s="12"/>
      <c r="E154" s="12"/>
      <c r="F154" s="12"/>
      <c r="G154" s="12"/>
      <c r="H154" s="12"/>
      <c r="I154" s="12"/>
      <c r="AH154" s="12"/>
    </row>
    <row r="155" spans="4:34" ht="12.75">
      <c r="D155" s="12"/>
      <c r="E155" s="12"/>
      <c r="F155" s="12"/>
      <c r="G155" s="12"/>
      <c r="H155" s="12"/>
      <c r="I155" s="12"/>
      <c r="AH155" s="12"/>
    </row>
    <row r="156" spans="4:34" ht="12.75">
      <c r="D156" s="12"/>
      <c r="E156" s="12"/>
      <c r="F156" s="12"/>
      <c r="G156" s="12"/>
      <c r="H156" s="12"/>
      <c r="I156" s="12"/>
      <c r="AH156" s="12"/>
    </row>
    <row r="157" spans="4:34" ht="12.75">
      <c r="D157" s="12"/>
      <c r="E157" s="12"/>
      <c r="F157" s="12"/>
      <c r="G157" s="12"/>
      <c r="H157" s="12"/>
      <c r="I157" s="12"/>
      <c r="AH157" s="12"/>
    </row>
    <row r="158" spans="4:34" ht="12.75">
      <c r="D158" s="12"/>
      <c r="E158" s="12"/>
      <c r="F158" s="12"/>
      <c r="G158" s="12"/>
      <c r="H158" s="12"/>
      <c r="I158" s="12"/>
      <c r="AH158" s="12"/>
    </row>
    <row r="159" spans="4:34" ht="12.75">
      <c r="D159" s="12"/>
      <c r="E159" s="12"/>
      <c r="F159" s="12"/>
      <c r="G159" s="12"/>
      <c r="H159" s="12"/>
      <c r="I159" s="12"/>
      <c r="AH159" s="12"/>
    </row>
    <row r="160" spans="4:34" ht="12.75">
      <c r="D160" s="12"/>
      <c r="E160" s="12"/>
      <c r="F160" s="12"/>
      <c r="G160" s="12"/>
      <c r="H160" s="12"/>
      <c r="I160" s="12"/>
      <c r="AH160" s="12"/>
    </row>
    <row r="161" spans="4:34" ht="12.75">
      <c r="D161" s="12"/>
      <c r="E161" s="12"/>
      <c r="F161" s="12"/>
      <c r="G161" s="12"/>
      <c r="H161" s="12"/>
      <c r="I161" s="12"/>
      <c r="AH161" s="12"/>
    </row>
    <row r="162" spans="4:34" ht="12.75">
      <c r="D162" s="12"/>
      <c r="E162" s="12"/>
      <c r="F162" s="12"/>
      <c r="G162" s="12"/>
      <c r="H162" s="12"/>
      <c r="I162" s="12"/>
      <c r="AH162" s="12"/>
    </row>
    <row r="163" spans="4:34" ht="12.75">
      <c r="D163" s="12"/>
      <c r="E163" s="12"/>
      <c r="F163" s="12"/>
      <c r="G163" s="12"/>
      <c r="H163" s="12"/>
      <c r="I163" s="12"/>
      <c r="AH163" s="12"/>
    </row>
    <row r="164" spans="4:34" ht="12.75">
      <c r="D164" s="12"/>
      <c r="E164" s="12"/>
      <c r="F164" s="12"/>
      <c r="G164" s="12"/>
      <c r="H164" s="12"/>
      <c r="I164" s="12"/>
      <c r="AH164" s="12"/>
    </row>
    <row r="165" spans="4:34" ht="12.75">
      <c r="D165" s="12"/>
      <c r="E165" s="12"/>
      <c r="F165" s="12"/>
      <c r="G165" s="12"/>
      <c r="H165" s="12"/>
      <c r="I165" s="12"/>
      <c r="AH165" s="12"/>
    </row>
    <row r="166" spans="4:34" ht="12.75">
      <c r="D166" s="12"/>
      <c r="E166" s="12"/>
      <c r="F166" s="12"/>
      <c r="G166" s="12"/>
      <c r="H166" s="12"/>
      <c r="I166" s="12"/>
      <c r="AH166" s="12"/>
    </row>
    <row r="167" spans="4:34" ht="12.75">
      <c r="D167" s="12"/>
      <c r="E167" s="12"/>
      <c r="F167" s="12"/>
      <c r="G167" s="12"/>
      <c r="H167" s="12"/>
      <c r="I167" s="12"/>
      <c r="AH167" s="12"/>
    </row>
    <row r="168" spans="4:34" ht="12.75">
      <c r="D168" s="12"/>
      <c r="E168" s="12"/>
      <c r="F168" s="12"/>
      <c r="G168" s="12"/>
      <c r="H168" s="12"/>
      <c r="I168" s="12"/>
      <c r="AH168" s="12"/>
    </row>
    <row r="169" spans="4:34" ht="12.75">
      <c r="D169" s="12"/>
      <c r="E169" s="12"/>
      <c r="F169" s="12"/>
      <c r="G169" s="12"/>
      <c r="H169" s="12"/>
      <c r="I169" s="12"/>
      <c r="AH169" s="12"/>
    </row>
    <row r="170" spans="4:34" ht="12.75">
      <c r="D170" s="12"/>
      <c r="E170" s="12"/>
      <c r="F170" s="12"/>
      <c r="G170" s="12"/>
      <c r="H170" s="12"/>
      <c r="I170" s="12"/>
      <c r="AH170" s="12"/>
    </row>
    <row r="171" spans="4:34" ht="12.75">
      <c r="D171" s="12"/>
      <c r="E171" s="12"/>
      <c r="F171" s="12"/>
      <c r="G171" s="12"/>
      <c r="H171" s="12"/>
      <c r="I171" s="12"/>
      <c r="AH171" s="12"/>
    </row>
    <row r="172" spans="4:34" ht="12.75">
      <c r="D172" s="12"/>
      <c r="E172" s="12"/>
      <c r="F172" s="12"/>
      <c r="G172" s="12"/>
      <c r="H172" s="12"/>
      <c r="I172" s="12"/>
      <c r="AH172" s="12"/>
    </row>
    <row r="173" spans="4:34" ht="12.75">
      <c r="D173" s="12"/>
      <c r="E173" s="12"/>
      <c r="F173" s="12"/>
      <c r="G173" s="12"/>
      <c r="H173" s="12"/>
      <c r="I173" s="12"/>
      <c r="AH173" s="12"/>
    </row>
    <row r="174" spans="4:34" ht="12.75">
      <c r="D174" s="12"/>
      <c r="E174" s="12"/>
      <c r="F174" s="12"/>
      <c r="G174" s="12"/>
      <c r="H174" s="12"/>
      <c r="I174" s="12"/>
      <c r="AH174" s="12"/>
    </row>
    <row r="175" spans="4:34" ht="12.75">
      <c r="D175" s="12"/>
      <c r="E175" s="12"/>
      <c r="F175" s="12"/>
      <c r="G175" s="12"/>
      <c r="H175" s="12"/>
      <c r="I175" s="12"/>
      <c r="AH175" s="12"/>
    </row>
    <row r="176" spans="4:34" ht="12.75">
      <c r="D176" s="12"/>
      <c r="E176" s="12"/>
      <c r="F176" s="12"/>
      <c r="G176" s="12"/>
      <c r="H176" s="12"/>
      <c r="I176" s="12"/>
      <c r="AH176" s="12"/>
    </row>
    <row r="177" spans="4:34" ht="12.75">
      <c r="D177" s="12"/>
      <c r="E177" s="12"/>
      <c r="F177" s="12"/>
      <c r="G177" s="12"/>
      <c r="H177" s="12"/>
      <c r="I177" s="12"/>
      <c r="AH177" s="12"/>
    </row>
    <row r="178" spans="4:34" ht="12.75">
      <c r="D178" s="12"/>
      <c r="E178" s="12"/>
      <c r="F178" s="12"/>
      <c r="G178" s="12"/>
      <c r="H178" s="12"/>
      <c r="I178" s="12"/>
      <c r="AH178" s="12"/>
    </row>
    <row r="179" spans="4:34" ht="12.75">
      <c r="D179" s="12"/>
      <c r="E179" s="12"/>
      <c r="F179" s="12"/>
      <c r="G179" s="12"/>
      <c r="H179" s="12"/>
      <c r="I179" s="12"/>
      <c r="AH179" s="12"/>
    </row>
    <row r="180" spans="4:34" ht="12.75">
      <c r="D180" s="12"/>
      <c r="E180" s="12"/>
      <c r="F180" s="12"/>
      <c r="G180" s="12"/>
      <c r="H180" s="12"/>
      <c r="I180" s="12"/>
      <c r="AH180" s="12"/>
    </row>
    <row r="181" spans="4:34" ht="12.75">
      <c r="D181" s="12"/>
      <c r="E181" s="12"/>
      <c r="F181" s="12"/>
      <c r="G181" s="12"/>
      <c r="H181" s="12"/>
      <c r="I181" s="12"/>
      <c r="AH181" s="12"/>
    </row>
    <row r="182" spans="4:34" ht="12.75">
      <c r="D182" s="12"/>
      <c r="E182" s="12"/>
      <c r="F182" s="12"/>
      <c r="G182" s="12"/>
      <c r="H182" s="12"/>
      <c r="I182" s="12"/>
      <c r="AH182" s="12"/>
    </row>
    <row r="183" spans="4:34" ht="12.75">
      <c r="D183" s="12"/>
      <c r="E183" s="12"/>
      <c r="F183" s="12"/>
      <c r="G183" s="12"/>
      <c r="H183" s="12"/>
      <c r="I183" s="12"/>
      <c r="AH183" s="12"/>
    </row>
    <row r="184" spans="4:34" ht="12.75">
      <c r="D184" s="12"/>
      <c r="E184" s="12"/>
      <c r="F184" s="12"/>
      <c r="G184" s="12"/>
      <c r="H184" s="12"/>
      <c r="I184" s="12"/>
      <c r="AH184" s="12"/>
    </row>
    <row r="185" spans="4:34" ht="12.75">
      <c r="D185" s="12"/>
      <c r="E185" s="12"/>
      <c r="F185" s="12"/>
      <c r="G185" s="12"/>
      <c r="H185" s="12"/>
      <c r="I185" s="12"/>
      <c r="AH185" s="12"/>
    </row>
    <row r="186" spans="4:34" ht="12.75">
      <c r="D186" s="12"/>
      <c r="E186" s="12"/>
      <c r="F186" s="12"/>
      <c r="G186" s="12"/>
      <c r="H186" s="12"/>
      <c r="I186" s="12"/>
      <c r="AH186" s="12"/>
    </row>
    <row r="187" spans="4:34" ht="12.75">
      <c r="D187" s="12"/>
      <c r="E187" s="12"/>
      <c r="F187" s="12"/>
      <c r="G187" s="12"/>
      <c r="H187" s="12"/>
      <c r="I187" s="12"/>
      <c r="AH187" s="12"/>
    </row>
    <row r="188" spans="4:34" ht="12.75">
      <c r="D188" s="12"/>
      <c r="E188" s="12"/>
      <c r="F188" s="12"/>
      <c r="G188" s="12"/>
      <c r="H188" s="12"/>
      <c r="I188" s="12"/>
      <c r="AH188" s="12"/>
    </row>
    <row r="189" spans="4:34" ht="12.75">
      <c r="D189" s="12"/>
      <c r="E189" s="12"/>
      <c r="F189" s="12"/>
      <c r="G189" s="12"/>
      <c r="H189" s="12"/>
      <c r="I189" s="12"/>
      <c r="AH189" s="12"/>
    </row>
    <row r="190" spans="4:34" ht="12.75">
      <c r="D190" s="12"/>
      <c r="E190" s="12"/>
      <c r="F190" s="12"/>
      <c r="G190" s="12"/>
      <c r="H190" s="12"/>
      <c r="I190" s="12"/>
      <c r="AH190" s="12"/>
    </row>
    <row r="191" spans="4:34" ht="12.75">
      <c r="D191" s="12"/>
      <c r="E191" s="12"/>
      <c r="F191" s="12"/>
      <c r="G191" s="12"/>
      <c r="H191" s="12"/>
      <c r="I191" s="12"/>
      <c r="AH191" s="12"/>
    </row>
    <row r="192" spans="4:34" ht="12.75">
      <c r="D192" s="12"/>
      <c r="E192" s="12"/>
      <c r="F192" s="12"/>
      <c r="G192" s="12"/>
      <c r="H192" s="12"/>
      <c r="I192" s="12"/>
      <c r="AH192" s="12"/>
    </row>
    <row r="193" spans="4:34" ht="12.75">
      <c r="D193" s="12"/>
      <c r="E193" s="12"/>
      <c r="F193" s="12"/>
      <c r="G193" s="12"/>
      <c r="H193" s="12"/>
      <c r="I193" s="12"/>
      <c r="AH193" s="12"/>
    </row>
    <row r="194" spans="4:34" ht="12.75">
      <c r="D194" s="12"/>
      <c r="E194" s="12"/>
      <c r="F194" s="12"/>
      <c r="G194" s="12"/>
      <c r="H194" s="12"/>
      <c r="I194" s="12"/>
      <c r="AH194" s="12"/>
    </row>
    <row r="195" spans="4:34" ht="12.75">
      <c r="D195" s="12"/>
      <c r="E195" s="12"/>
      <c r="F195" s="12"/>
      <c r="G195" s="12"/>
      <c r="H195" s="12"/>
      <c r="I195" s="12"/>
      <c r="AH195" s="12"/>
    </row>
    <row r="196" spans="4:34" ht="12.75">
      <c r="D196" s="12"/>
      <c r="E196" s="12"/>
      <c r="F196" s="12"/>
      <c r="G196" s="12"/>
      <c r="H196" s="12"/>
      <c r="I196" s="12"/>
      <c r="AH196" s="12"/>
    </row>
    <row r="197" spans="4:34" ht="12.75">
      <c r="D197" s="12"/>
      <c r="E197" s="12"/>
      <c r="F197" s="12"/>
      <c r="G197" s="12"/>
      <c r="H197" s="12"/>
      <c r="I197" s="12"/>
      <c r="AH197" s="12"/>
    </row>
    <row r="198" spans="4:34" ht="12.75">
      <c r="D198" s="12"/>
      <c r="E198" s="12"/>
      <c r="F198" s="12"/>
      <c r="G198" s="12"/>
      <c r="H198" s="12"/>
      <c r="I198" s="12"/>
      <c r="AH198" s="12"/>
    </row>
    <row r="199" spans="4:34" ht="12.75">
      <c r="D199" s="12"/>
      <c r="E199" s="12"/>
      <c r="F199" s="12"/>
      <c r="G199" s="12"/>
      <c r="H199" s="12"/>
      <c r="I199" s="12"/>
      <c r="AH199" s="12"/>
    </row>
    <row r="200" spans="4:34" ht="12.75">
      <c r="D200" s="12"/>
      <c r="E200" s="12"/>
      <c r="F200" s="12"/>
      <c r="G200" s="12"/>
      <c r="H200" s="12"/>
      <c r="I200" s="12"/>
      <c r="AH200" s="12"/>
    </row>
    <row r="201" spans="4:34" ht="12.75">
      <c r="D201" s="12"/>
      <c r="E201" s="12"/>
      <c r="F201" s="12"/>
      <c r="G201" s="12"/>
      <c r="H201" s="12"/>
      <c r="I201" s="12"/>
      <c r="AH201" s="12"/>
    </row>
    <row r="202" spans="4:34" ht="12.75">
      <c r="D202" s="12"/>
      <c r="E202" s="12"/>
      <c r="F202" s="12"/>
      <c r="G202" s="12"/>
      <c r="H202" s="12"/>
      <c r="I202" s="12"/>
      <c r="AH202" s="12"/>
    </row>
    <row r="203" spans="4:34" ht="12.75">
      <c r="D203" s="12"/>
      <c r="E203" s="12"/>
      <c r="F203" s="12"/>
      <c r="G203" s="12"/>
      <c r="H203" s="12"/>
      <c r="I203" s="12"/>
      <c r="AH203" s="12"/>
    </row>
    <row r="204" spans="4:34" ht="12.75">
      <c r="D204" s="12"/>
      <c r="E204" s="12"/>
      <c r="F204" s="12"/>
      <c r="G204" s="12"/>
      <c r="H204" s="12"/>
      <c r="I204" s="12"/>
      <c r="AH204" s="12"/>
    </row>
    <row r="205" spans="4:34" ht="12.75">
      <c r="D205" s="12"/>
      <c r="E205" s="12"/>
      <c r="F205" s="12"/>
      <c r="G205" s="12"/>
      <c r="H205" s="12"/>
      <c r="I205" s="12"/>
      <c r="AH205" s="12"/>
    </row>
  </sheetData>
  <sheetProtection/>
  <printOptions gridLines="1"/>
  <pageMargins left="0.75" right="0.75" top="1" bottom="1" header="0.5" footer="0.5"/>
  <pageSetup fitToHeight="1" fitToWidth="1" horizontalDpi="300" verticalDpi="300" orientation="landscape" paperSize="9" scale="51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4"/>
  <sheetViews>
    <sheetView zoomScale="75" zoomScaleNormal="75" zoomScalePageLayoutView="0" workbookViewId="0" topLeftCell="A1">
      <pane ySplit="1740" topLeftCell="A27" activePane="bottomLeft" state="split"/>
      <selection pane="topLeft" activeCell="E1" sqref="E1:E16384"/>
      <selection pane="bottomLeft" activeCell="F49" sqref="F49"/>
    </sheetView>
  </sheetViews>
  <sheetFormatPr defaultColWidth="9.140625" defaultRowHeight="12.75"/>
  <cols>
    <col min="4" max="4" width="10.57421875" style="0" bestFit="1" customWidth="1"/>
    <col min="5" max="6" width="10.57421875" style="0" customWidth="1"/>
    <col min="20" max="20" width="9.7109375" style="0" customWidth="1"/>
    <col min="26" max="26" width="9.421875" style="0" customWidth="1"/>
  </cols>
  <sheetData>
    <row r="1" spans="2:35" ht="12.75">
      <c r="B1" s="6" t="s">
        <v>4</v>
      </c>
      <c r="L1" t="s">
        <v>95</v>
      </c>
      <c r="U1" t="s">
        <v>6</v>
      </c>
      <c r="AB1" t="s">
        <v>96</v>
      </c>
      <c r="AI1" t="s">
        <v>97</v>
      </c>
    </row>
    <row r="2" spans="2:35" ht="12.75">
      <c r="B2" s="6" t="s">
        <v>98</v>
      </c>
      <c r="D2" t="s">
        <v>99</v>
      </c>
      <c r="L2" t="s">
        <v>9</v>
      </c>
      <c r="U2" t="s">
        <v>10</v>
      </c>
      <c r="AB2" t="s">
        <v>100</v>
      </c>
      <c r="AI2" t="s">
        <v>101</v>
      </c>
    </row>
    <row r="3" ht="12.75">
      <c r="B3" s="6"/>
    </row>
    <row r="4" ht="12.75">
      <c r="O4" t="s">
        <v>12</v>
      </c>
    </row>
    <row r="5" spans="2:32" s="7" customFormat="1" ht="25.5">
      <c r="B5" s="7" t="s">
        <v>13</v>
      </c>
      <c r="C5" s="7" t="s">
        <v>14</v>
      </c>
      <c r="D5" s="7" t="s">
        <v>15</v>
      </c>
      <c r="E5" s="7" t="s">
        <v>162</v>
      </c>
      <c r="F5" s="7" t="s">
        <v>159</v>
      </c>
      <c r="J5" s="7" t="s">
        <v>16</v>
      </c>
      <c r="K5" s="7" t="s">
        <v>17</v>
      </c>
      <c r="L5" s="7" t="s">
        <v>18</v>
      </c>
      <c r="M5" s="7" t="s">
        <v>0</v>
      </c>
      <c r="N5" s="7" t="s">
        <v>19</v>
      </c>
      <c r="O5" s="7" t="s">
        <v>20</v>
      </c>
      <c r="P5" s="7" t="s">
        <v>21</v>
      </c>
      <c r="Q5" s="7" t="s">
        <v>22</v>
      </c>
      <c r="R5" s="15" t="s">
        <v>102</v>
      </c>
      <c r="S5" s="7" t="s">
        <v>103</v>
      </c>
      <c r="T5" s="7" t="s">
        <v>2</v>
      </c>
      <c r="U5" s="7" t="s">
        <v>23</v>
      </c>
      <c r="V5" s="7" t="s">
        <v>24</v>
      </c>
      <c r="W5" s="7" t="s">
        <v>3</v>
      </c>
      <c r="X5" s="7" t="s">
        <v>25</v>
      </c>
      <c r="Y5" s="7" t="s">
        <v>26</v>
      </c>
      <c r="Z5" s="7" t="s">
        <v>27</v>
      </c>
      <c r="AA5" s="7" t="s">
        <v>28</v>
      </c>
      <c r="AB5" s="7" t="s">
        <v>29</v>
      </c>
      <c r="AC5" s="7" t="s">
        <v>29</v>
      </c>
      <c r="AD5" s="7" t="s">
        <v>29</v>
      </c>
      <c r="AE5" s="8" t="s">
        <v>30</v>
      </c>
      <c r="AF5" s="8" t="s">
        <v>31</v>
      </c>
    </row>
    <row r="6" spans="12:32" s="7" customFormat="1" ht="12.75">
      <c r="L6" s="7" t="s">
        <v>32</v>
      </c>
      <c r="M6" s="7" t="s">
        <v>32</v>
      </c>
      <c r="N6" s="7" t="s">
        <v>32</v>
      </c>
      <c r="O6" s="7" t="s">
        <v>33</v>
      </c>
      <c r="P6" s="7" t="s">
        <v>32</v>
      </c>
      <c r="U6" s="7" t="s">
        <v>32</v>
      </c>
      <c r="V6" s="7" t="s">
        <v>32</v>
      </c>
      <c r="W6" s="7" t="s">
        <v>32</v>
      </c>
      <c r="Z6" s="7" t="s">
        <v>34</v>
      </c>
      <c r="AB6" s="7" t="s">
        <v>35</v>
      </c>
      <c r="AC6" s="7" t="s">
        <v>36</v>
      </c>
      <c r="AD6" s="7" t="s">
        <v>37</v>
      </c>
      <c r="AE6" s="8" t="s">
        <v>38</v>
      </c>
      <c r="AF6" s="8" t="s">
        <v>38</v>
      </c>
    </row>
    <row r="7" spans="12:32" ht="12.75">
      <c r="L7" t="s">
        <v>104</v>
      </c>
      <c r="AE7" s="9"/>
      <c r="AF7" s="9"/>
    </row>
    <row r="8" spans="1:32" ht="12.75">
      <c r="A8">
        <v>22</v>
      </c>
      <c r="B8" t="s">
        <v>41</v>
      </c>
      <c r="D8" s="10"/>
      <c r="E8" s="10"/>
      <c r="F8" s="10"/>
      <c r="G8" s="10"/>
      <c r="H8" s="10"/>
      <c r="I8" s="10"/>
      <c r="AE8" s="9" t="e">
        <f>Q8/W8</f>
        <v>#DIV/0!</v>
      </c>
      <c r="AF8" s="9" t="e">
        <f>Y8/W8</f>
        <v>#DIV/0!</v>
      </c>
    </row>
    <row r="9" spans="1:9" ht="12.75">
      <c r="A9">
        <v>78</v>
      </c>
      <c r="B9" t="s">
        <v>42</v>
      </c>
      <c r="C9" s="7"/>
      <c r="D9" s="10"/>
      <c r="E9" s="10"/>
      <c r="F9" s="10"/>
      <c r="G9" s="10"/>
      <c r="H9" s="10"/>
      <c r="I9" s="10"/>
    </row>
    <row r="10" spans="1:9" ht="12.75">
      <c r="A10">
        <v>124</v>
      </c>
      <c r="B10" t="s">
        <v>43</v>
      </c>
      <c r="D10" s="10"/>
      <c r="E10" s="10"/>
      <c r="F10" s="10"/>
      <c r="G10" s="10"/>
      <c r="H10" s="10"/>
      <c r="I10" s="10"/>
    </row>
    <row r="11" spans="1:9" ht="12.75">
      <c r="A11">
        <v>159</v>
      </c>
      <c r="B11" t="s">
        <v>44</v>
      </c>
      <c r="C11" s="7"/>
      <c r="D11" s="10"/>
      <c r="E11" s="10"/>
      <c r="F11" s="10"/>
      <c r="G11" s="10"/>
      <c r="H11" s="10"/>
      <c r="I11" s="10"/>
    </row>
    <row r="12" spans="1:9" ht="12.75">
      <c r="A12">
        <v>212</v>
      </c>
      <c r="B12" t="s">
        <v>46</v>
      </c>
      <c r="C12" s="7"/>
      <c r="D12" s="10"/>
      <c r="E12" s="10"/>
      <c r="F12" s="10"/>
      <c r="G12" s="10"/>
      <c r="H12" s="10"/>
      <c r="I12" s="10"/>
    </row>
    <row r="13" spans="1:9" ht="12.75">
      <c r="A13">
        <v>221</v>
      </c>
      <c r="B13" t="s">
        <v>47</v>
      </c>
      <c r="C13" s="7"/>
      <c r="D13" s="10"/>
      <c r="E13" s="10"/>
      <c r="F13" s="10"/>
      <c r="G13" s="10"/>
      <c r="H13" s="10"/>
      <c r="I13" s="10"/>
    </row>
    <row r="14" spans="1:9" ht="12.75">
      <c r="A14">
        <v>257</v>
      </c>
      <c r="B14" t="s">
        <v>48</v>
      </c>
      <c r="C14" s="7"/>
      <c r="D14" s="10"/>
      <c r="E14" s="10"/>
      <c r="F14" s="10"/>
      <c r="G14" s="10"/>
      <c r="H14" s="10"/>
      <c r="I14" s="10"/>
    </row>
    <row r="15" spans="1:9" ht="12.75">
      <c r="A15">
        <v>286</v>
      </c>
      <c r="B15" t="s">
        <v>49</v>
      </c>
      <c r="C15" s="7"/>
      <c r="D15" s="10"/>
      <c r="E15" s="10"/>
      <c r="F15" s="10"/>
      <c r="G15" s="10"/>
      <c r="H15" s="10"/>
      <c r="I15" s="10"/>
    </row>
    <row r="16" spans="1:9" ht="12.75">
      <c r="A16">
        <v>306</v>
      </c>
      <c r="B16" t="s">
        <v>50</v>
      </c>
      <c r="C16" s="7"/>
      <c r="D16" s="10"/>
      <c r="E16" s="10"/>
      <c r="F16" s="10"/>
      <c r="G16" s="10"/>
      <c r="H16" s="10"/>
      <c r="I16" s="10"/>
    </row>
    <row r="17" spans="1:9" ht="12.75">
      <c r="A17">
        <v>326</v>
      </c>
      <c r="B17" t="s">
        <v>51</v>
      </c>
      <c r="C17" s="7"/>
      <c r="D17" s="10"/>
      <c r="E17" s="10"/>
      <c r="F17" s="10"/>
      <c r="G17" s="10"/>
      <c r="H17" s="10"/>
      <c r="I17" s="10"/>
    </row>
    <row r="18" spans="1:9" ht="12.75">
      <c r="A18">
        <v>336</v>
      </c>
      <c r="B18" t="s">
        <v>105</v>
      </c>
      <c r="D18" s="10"/>
      <c r="E18" s="10"/>
      <c r="F18" s="10"/>
      <c r="G18" s="10"/>
      <c r="H18" s="10"/>
      <c r="I18" s="10"/>
    </row>
    <row r="19" spans="1:9" ht="12.75">
      <c r="A19">
        <v>347</v>
      </c>
      <c r="B19" t="s">
        <v>53</v>
      </c>
      <c r="D19" s="10"/>
      <c r="E19" s="10"/>
      <c r="F19" s="10"/>
      <c r="G19" s="10"/>
      <c r="H19" s="10"/>
      <c r="I19" s="10"/>
    </row>
    <row r="20" spans="1:9" ht="12.75">
      <c r="A20">
        <v>357</v>
      </c>
      <c r="B20" t="s">
        <v>54</v>
      </c>
      <c r="D20" s="10"/>
      <c r="E20" s="10"/>
      <c r="F20" s="10"/>
      <c r="G20" s="10"/>
      <c r="H20" s="10"/>
      <c r="I20" s="10"/>
    </row>
    <row r="21" spans="1:24" ht="12.75">
      <c r="A21">
        <f>365+3</f>
        <v>368</v>
      </c>
      <c r="B21" t="s">
        <v>55</v>
      </c>
      <c r="C21">
        <v>365</v>
      </c>
      <c r="D21" s="10">
        <f aca="true" t="shared" si="0" ref="D21:D50">1/C21</f>
        <v>0.0027397260273972603</v>
      </c>
      <c r="E21" s="10">
        <f>1000*D21</f>
        <v>2.73972602739726</v>
      </c>
      <c r="F21" s="10">
        <f>D21*1000*0.15</f>
        <v>0.410958904109589</v>
      </c>
      <c r="G21" s="10"/>
      <c r="H21" s="10"/>
      <c r="I21" s="10"/>
      <c r="J21">
        <v>7.8</v>
      </c>
      <c r="K21">
        <v>491</v>
      </c>
      <c r="M21">
        <f>9.4*10/40</f>
        <v>2.35</v>
      </c>
      <c r="N21">
        <f>5.1/24.3</f>
        <v>0.20987654320987653</v>
      </c>
      <c r="O21">
        <v>175.8</v>
      </c>
      <c r="P21">
        <f>O21/88/1000</f>
        <v>0.001997727272727273</v>
      </c>
      <c r="Q21">
        <f>N21/M21</f>
        <v>0.08930916732335172</v>
      </c>
      <c r="R21">
        <f>24.3/40*1000*Q21</f>
        <v>54.25531914893617</v>
      </c>
      <c r="S21">
        <f aca="true" t="shared" si="1" ref="S21:S42">D21*60</f>
        <v>0.1643835616438356</v>
      </c>
      <c r="T21">
        <f>O21/87.6/M21</f>
        <v>0.8539784319440397</v>
      </c>
      <c r="U21">
        <f>2.9/23</f>
        <v>0.12608695652173912</v>
      </c>
      <c r="V21">
        <f>0.3/39</f>
        <v>0.007692307692307692</v>
      </c>
      <c r="W21">
        <f>18.9/35.5</f>
        <v>0.532394366197183</v>
      </c>
      <c r="X21">
        <f>3*2.8737/96</f>
        <v>0.089803125</v>
      </c>
    </row>
    <row r="22" spans="1:19" ht="12.75">
      <c r="A22">
        <f>375</f>
        <v>375</v>
      </c>
      <c r="B22" t="s">
        <v>56</v>
      </c>
      <c r="C22">
        <f>(6*60)+37</f>
        <v>397</v>
      </c>
      <c r="D22" s="10">
        <f t="shared" si="0"/>
        <v>0.0025188916876574307</v>
      </c>
      <c r="E22" s="10">
        <f aca="true" t="shared" si="2" ref="E22:E50">1000*D22</f>
        <v>2.5188916876574305</v>
      </c>
      <c r="F22" s="10">
        <f aca="true" t="shared" si="3" ref="F22:F50">D22*1000*0.15</f>
        <v>0.37783375314861456</v>
      </c>
      <c r="G22" s="10">
        <v>320</v>
      </c>
      <c r="H22" s="10">
        <v>409</v>
      </c>
      <c r="I22" s="10">
        <v>38.6</v>
      </c>
      <c r="J22">
        <v>7.6</v>
      </c>
      <c r="S22">
        <f t="shared" si="1"/>
        <v>0.15113350125944583</v>
      </c>
    </row>
    <row r="23" spans="1:24" ht="12.75">
      <c r="A23">
        <f>365+24</f>
        <v>389</v>
      </c>
      <c r="B23" t="s">
        <v>57</v>
      </c>
      <c r="C23">
        <f>(6*60)+52.55</f>
        <v>412.55</v>
      </c>
      <c r="D23" s="10">
        <f t="shared" si="0"/>
        <v>0.0024239486122894192</v>
      </c>
      <c r="E23" s="10">
        <f t="shared" si="2"/>
        <v>2.4239486122894194</v>
      </c>
      <c r="F23" s="10">
        <f t="shared" si="3"/>
        <v>0.3635922918434129</v>
      </c>
      <c r="G23" s="10">
        <v>328</v>
      </c>
      <c r="H23" s="10">
        <v>411.5</v>
      </c>
      <c r="I23" s="10">
        <v>20.7</v>
      </c>
      <c r="J23" s="7" t="s">
        <v>106</v>
      </c>
      <c r="M23">
        <f>10.5*10/40</f>
        <v>2.625</v>
      </c>
      <c r="N23">
        <f>5/24.3</f>
        <v>0.205761316872428</v>
      </c>
      <c r="O23">
        <v>183.1</v>
      </c>
      <c r="P23">
        <f>O23/88/1000</f>
        <v>0.002080681818181818</v>
      </c>
      <c r="Q23">
        <f>N23/M23</f>
        <v>0.07838526357044875</v>
      </c>
      <c r="R23">
        <f>24.3/40*1000*Q23</f>
        <v>47.61904761904762</v>
      </c>
      <c r="S23">
        <f t="shared" si="1"/>
        <v>0.14543691673736514</v>
      </c>
      <c r="T23">
        <f>O23/87.6/M23</f>
        <v>0.7962600565340291</v>
      </c>
      <c r="U23">
        <f>3.2/23</f>
        <v>0.1391304347826087</v>
      </c>
      <c r="V23">
        <f>0.5/39</f>
        <v>0.01282051282051282</v>
      </c>
      <c r="W23">
        <f>24/35.5</f>
        <v>0.676056338028169</v>
      </c>
      <c r="X23">
        <f>3.3*2.8737/96</f>
        <v>0.0987834375</v>
      </c>
    </row>
    <row r="24" spans="1:19" ht="12.75">
      <c r="A24">
        <f>365+34</f>
        <v>399</v>
      </c>
      <c r="B24" t="s">
        <v>60</v>
      </c>
      <c r="C24">
        <f>(6*60)+36</f>
        <v>396</v>
      </c>
      <c r="D24" s="10">
        <f t="shared" si="0"/>
        <v>0.0025252525252525255</v>
      </c>
      <c r="E24" s="10">
        <f t="shared" si="2"/>
        <v>2.5252525252525255</v>
      </c>
      <c r="F24" s="10">
        <f t="shared" si="3"/>
        <v>0.37878787878787884</v>
      </c>
      <c r="G24" s="10"/>
      <c r="H24" s="10"/>
      <c r="I24" s="10"/>
      <c r="S24">
        <f t="shared" si="1"/>
        <v>0.15151515151515152</v>
      </c>
    </row>
    <row r="25" spans="1:24" ht="12.75">
      <c r="A25">
        <v>400</v>
      </c>
      <c r="B25" t="s">
        <v>61</v>
      </c>
      <c r="C25">
        <f>(6*60)+39</f>
        <v>399</v>
      </c>
      <c r="D25" s="10">
        <f t="shared" si="0"/>
        <v>0.002506265664160401</v>
      </c>
      <c r="E25" s="10">
        <f t="shared" si="2"/>
        <v>2.506265664160401</v>
      </c>
      <c r="F25" s="10">
        <f t="shared" si="3"/>
        <v>0.37593984962406013</v>
      </c>
      <c r="G25" s="10">
        <v>322</v>
      </c>
      <c r="H25" s="10">
        <v>402</v>
      </c>
      <c r="I25" s="10">
        <v>18.3</v>
      </c>
      <c r="J25">
        <v>8.43</v>
      </c>
      <c r="K25">
        <v>365</v>
      </c>
      <c r="M25">
        <v>2.15</v>
      </c>
      <c r="N25">
        <v>0.2058</v>
      </c>
      <c r="O25">
        <v>146.5</v>
      </c>
      <c r="P25">
        <f>O25/88/1000</f>
        <v>0.0016647727272727272</v>
      </c>
      <c r="Q25">
        <f>N25/M25</f>
        <v>0.09572093023255815</v>
      </c>
      <c r="R25">
        <f>24.3/40*1000*Q25</f>
        <v>58.15046511627907</v>
      </c>
      <c r="S25">
        <f t="shared" si="1"/>
        <v>0.15037593984962405</v>
      </c>
      <c r="T25">
        <f>O25/87.6/M25</f>
        <v>0.7778485717319742</v>
      </c>
      <c r="U25">
        <v>0.1391</v>
      </c>
      <c r="V25">
        <v>0.01282</v>
      </c>
      <c r="W25">
        <v>0.6761</v>
      </c>
      <c r="X25">
        <v>0.0988</v>
      </c>
    </row>
    <row r="26" spans="1:24" ht="12.75">
      <c r="A26">
        <f>365+46</f>
        <v>411</v>
      </c>
      <c r="B26" t="s">
        <v>107</v>
      </c>
      <c r="C26">
        <v>417</v>
      </c>
      <c r="D26" s="10">
        <f t="shared" si="0"/>
        <v>0.002398081534772182</v>
      </c>
      <c r="E26" s="10">
        <f t="shared" si="2"/>
        <v>2.398081534772182</v>
      </c>
      <c r="F26" s="10">
        <f t="shared" si="3"/>
        <v>0.35971223021582727</v>
      </c>
      <c r="G26" s="10"/>
      <c r="H26" s="10"/>
      <c r="I26" s="10"/>
      <c r="J26">
        <v>7.8</v>
      </c>
      <c r="M26">
        <f>9.2*10/40</f>
        <v>2.3</v>
      </c>
      <c r="N26">
        <f>5.5/24.3</f>
        <v>0.22633744855967078</v>
      </c>
      <c r="O26">
        <v>189.2</v>
      </c>
      <c r="P26">
        <f>O26/88/1000</f>
        <v>0.00215</v>
      </c>
      <c r="Q26">
        <f>N26/M26</f>
        <v>0.09840758633029165</v>
      </c>
      <c r="R26">
        <f>24.3/40*1000*Q26</f>
        <v>59.78260869565217</v>
      </c>
      <c r="S26">
        <f t="shared" si="1"/>
        <v>0.14388489208633093</v>
      </c>
      <c r="T26">
        <f>O26/87.6/M26</f>
        <v>0.9390510224339885</v>
      </c>
      <c r="U26">
        <f>3.3/23</f>
        <v>0.14347826086956522</v>
      </c>
      <c r="V26">
        <f>0.5/39</f>
        <v>0.01282051282051282</v>
      </c>
      <c r="W26">
        <f>41.6/35.5</f>
        <v>1.171830985915493</v>
      </c>
      <c r="X26">
        <f>4*2.8737/96</f>
        <v>0.1197375</v>
      </c>
    </row>
    <row r="27" spans="1:24" ht="12.75">
      <c r="A27">
        <f>365+56</f>
        <v>421</v>
      </c>
      <c r="B27" t="s">
        <v>108</v>
      </c>
      <c r="C27">
        <f>(6*60)+29.2</f>
        <v>389.2</v>
      </c>
      <c r="D27" s="10">
        <f t="shared" si="0"/>
        <v>0.0025693730729701952</v>
      </c>
      <c r="E27" s="10">
        <f t="shared" si="2"/>
        <v>2.5693730729701953</v>
      </c>
      <c r="F27" s="10">
        <f t="shared" si="3"/>
        <v>0.3854059609455293</v>
      </c>
      <c r="G27" s="10">
        <v>324</v>
      </c>
      <c r="H27" s="10">
        <v>415.5</v>
      </c>
      <c r="I27" s="10">
        <v>62.1</v>
      </c>
      <c r="J27">
        <v>8.3</v>
      </c>
      <c r="K27">
        <v>448</v>
      </c>
      <c r="M27">
        <f>8.5*10/40</f>
        <v>2.125</v>
      </c>
      <c r="N27">
        <f>4.9/24.3</f>
        <v>0.20164609053497942</v>
      </c>
      <c r="O27">
        <v>153.9</v>
      </c>
      <c r="P27">
        <f>O27/88/1000</f>
        <v>0.0017488636363636365</v>
      </c>
      <c r="Q27">
        <f>N27/M27</f>
        <v>0.09489227789881384</v>
      </c>
      <c r="R27">
        <f>24.3/40*1000*Q27</f>
        <v>57.647058823529406</v>
      </c>
      <c r="S27">
        <f t="shared" si="1"/>
        <v>0.15416238437821173</v>
      </c>
      <c r="T27">
        <f>O27/87.6/M27</f>
        <v>0.8267526188557616</v>
      </c>
      <c r="U27">
        <f>2.7/23</f>
        <v>0.11739130434782609</v>
      </c>
      <c r="V27">
        <f>0.3/39</f>
        <v>0.007692307692307692</v>
      </c>
      <c r="W27">
        <f>16.1/35.5</f>
        <v>0.45352112676056344</v>
      </c>
      <c r="X27">
        <f>4.3*2.8737/96</f>
        <v>0.1287178125</v>
      </c>
    </row>
    <row r="28" spans="1:19" ht="12.75">
      <c r="A28">
        <f>365+68</f>
        <v>433</v>
      </c>
      <c r="B28" t="s">
        <v>109</v>
      </c>
      <c r="C28">
        <f>(6*60)+3.73</f>
        <v>363.73</v>
      </c>
      <c r="D28" s="10">
        <f t="shared" si="0"/>
        <v>0.002749292057295246</v>
      </c>
      <c r="E28" s="10">
        <f t="shared" si="2"/>
        <v>2.7492920572952464</v>
      </c>
      <c r="F28" s="10">
        <f t="shared" si="3"/>
        <v>0.4123938085942869</v>
      </c>
      <c r="G28" s="10">
        <v>326</v>
      </c>
      <c r="H28" s="10">
        <v>404.5</v>
      </c>
      <c r="I28" s="10">
        <v>13.5</v>
      </c>
      <c r="S28">
        <f t="shared" si="1"/>
        <v>0.16495752343771478</v>
      </c>
    </row>
    <row r="29" spans="1:19" ht="12.75">
      <c r="A29">
        <f>365+78</f>
        <v>443</v>
      </c>
      <c r="B29" t="s">
        <v>110</v>
      </c>
      <c r="C29">
        <f>(6*60)+31.03</f>
        <v>391.03</v>
      </c>
      <c r="D29" s="10">
        <f t="shared" si="0"/>
        <v>0.0025573485410326576</v>
      </c>
      <c r="E29" s="10">
        <f t="shared" si="2"/>
        <v>2.5573485410326575</v>
      </c>
      <c r="F29" s="10">
        <f t="shared" si="3"/>
        <v>0.38360228115489864</v>
      </c>
      <c r="G29" s="10"/>
      <c r="H29" s="10"/>
      <c r="I29" s="10"/>
      <c r="J29">
        <v>7.97</v>
      </c>
      <c r="K29">
        <v>495</v>
      </c>
      <c r="S29">
        <f t="shared" si="1"/>
        <v>0.15344091246195946</v>
      </c>
    </row>
    <row r="30" spans="1:24" ht="12.75">
      <c r="A30">
        <f>365+87</f>
        <v>452</v>
      </c>
      <c r="B30" t="s">
        <v>111</v>
      </c>
      <c r="C30">
        <f>(6*60)+41.76</f>
        <v>401.76</v>
      </c>
      <c r="D30" s="10">
        <f t="shared" si="0"/>
        <v>0.002489048187972919</v>
      </c>
      <c r="E30" s="10">
        <f t="shared" si="2"/>
        <v>2.489048187972919</v>
      </c>
      <c r="F30" s="10">
        <f t="shared" si="3"/>
        <v>0.3733572281959378</v>
      </c>
      <c r="G30" s="10">
        <v>326</v>
      </c>
      <c r="H30" s="10">
        <v>411.5</v>
      </c>
      <c r="I30" s="10">
        <v>15</v>
      </c>
      <c r="M30">
        <v>2.23</v>
      </c>
      <c r="N30">
        <v>0.19</v>
      </c>
      <c r="O30">
        <v>208.4</v>
      </c>
      <c r="P30">
        <f>O30/88/1000</f>
        <v>0.0023681818181818183</v>
      </c>
      <c r="Q30">
        <f>N30/M30</f>
        <v>0.08520179372197309</v>
      </c>
      <c r="R30">
        <f>24.3/40*1000*Q30</f>
        <v>51.76008968609865</v>
      </c>
      <c r="S30">
        <f t="shared" si="1"/>
        <v>0.14934289127837513</v>
      </c>
      <c r="T30">
        <f>O30/87.6/M30</f>
        <v>1.0668140958699348</v>
      </c>
      <c r="U30">
        <v>0.17</v>
      </c>
      <c r="V30">
        <f>0.2/39</f>
        <v>0.005128205128205128</v>
      </c>
      <c r="W30">
        <v>0.43</v>
      </c>
      <c r="X30">
        <v>0.16</v>
      </c>
    </row>
    <row r="31" spans="1:24" ht="12.75">
      <c r="A31">
        <f>365+106</f>
        <v>471</v>
      </c>
      <c r="B31" t="s">
        <v>112</v>
      </c>
      <c r="C31">
        <v>384.3</v>
      </c>
      <c r="D31" s="10">
        <f t="shared" si="0"/>
        <v>0.0026021337496747333</v>
      </c>
      <c r="E31" s="10">
        <f t="shared" si="2"/>
        <v>2.602133749674733</v>
      </c>
      <c r="F31" s="10">
        <f t="shared" si="3"/>
        <v>0.39032006245121</v>
      </c>
      <c r="G31" s="10"/>
      <c r="H31" s="10"/>
      <c r="I31" s="10"/>
      <c r="J31">
        <v>7.5</v>
      </c>
      <c r="M31">
        <f>8.7/4</f>
        <v>2.175</v>
      </c>
      <c r="N31">
        <f>4.6/24.3</f>
        <v>0.18930041152263372</v>
      </c>
      <c r="O31">
        <v>220.7</v>
      </c>
      <c r="P31">
        <f>O31/88/1000</f>
        <v>0.0025079545454545454</v>
      </c>
      <c r="Q31">
        <f>N31/M31</f>
        <v>0.08703467196442931</v>
      </c>
      <c r="R31">
        <f>24.3/40*1000*Q31</f>
        <v>52.87356321839081</v>
      </c>
      <c r="S31">
        <f t="shared" si="1"/>
        <v>0.156128024980484</v>
      </c>
      <c r="T31">
        <f>O31/87.6/M31</f>
        <v>1.1583477667558917</v>
      </c>
      <c r="U31">
        <f>3.3/23</f>
        <v>0.14347826086956522</v>
      </c>
      <c r="V31">
        <f>0.3/39</f>
        <v>0.007692307692307692</v>
      </c>
      <c r="W31">
        <f>14.5/35.5</f>
        <v>0.4084507042253521</v>
      </c>
      <c r="X31">
        <f>5.1*2.8737/96</f>
        <v>0.15266531249999998</v>
      </c>
    </row>
    <row r="32" spans="1:19" ht="12.75">
      <c r="A32">
        <f>365+127</f>
        <v>492</v>
      </c>
      <c r="B32" t="s">
        <v>113</v>
      </c>
      <c r="C32">
        <f>(6*60)+48.17</f>
        <v>408.17</v>
      </c>
      <c r="D32" s="10">
        <f t="shared" si="0"/>
        <v>0.0024499595756670013</v>
      </c>
      <c r="E32" s="10">
        <f t="shared" si="2"/>
        <v>2.4499595756670014</v>
      </c>
      <c r="F32" s="10">
        <f t="shared" si="3"/>
        <v>0.3674939363500502</v>
      </c>
      <c r="G32" s="10">
        <v>324</v>
      </c>
      <c r="H32" s="10">
        <v>406</v>
      </c>
      <c r="I32" s="10">
        <v>29.3</v>
      </c>
      <c r="S32">
        <f t="shared" si="1"/>
        <v>0.14699757454002008</v>
      </c>
    </row>
    <row r="33" spans="1:24" ht="12.75">
      <c r="A33">
        <f>365+147</f>
        <v>512</v>
      </c>
      <c r="B33" t="s">
        <v>114</v>
      </c>
      <c r="C33">
        <v>420</v>
      </c>
      <c r="D33" s="10">
        <f t="shared" si="0"/>
        <v>0.002380952380952381</v>
      </c>
      <c r="E33" s="10">
        <f t="shared" si="2"/>
        <v>2.3809523809523814</v>
      </c>
      <c r="F33" s="10">
        <f t="shared" si="3"/>
        <v>0.3571428571428572</v>
      </c>
      <c r="G33" s="10">
        <v>324</v>
      </c>
      <c r="H33" s="10">
        <v>404</v>
      </c>
      <c r="I33" s="10">
        <v>17.8</v>
      </c>
      <c r="J33">
        <v>7.6</v>
      </c>
      <c r="M33">
        <f>8.3/40*10</f>
        <v>2.075</v>
      </c>
      <c r="N33">
        <f>4.9/24.3</f>
        <v>0.20164609053497942</v>
      </c>
      <c r="O33">
        <v>164.4</v>
      </c>
      <c r="P33">
        <f>O33/88/1000</f>
        <v>0.001868181818181818</v>
      </c>
      <c r="Q33">
        <f>N33/M33</f>
        <v>0.09717883881203827</v>
      </c>
      <c r="R33">
        <f>24.3/40*1000*Q33</f>
        <v>59.03614457831325</v>
      </c>
      <c r="S33">
        <f t="shared" si="1"/>
        <v>0.14285714285714288</v>
      </c>
      <c r="T33">
        <f>O33/87.6/M33</f>
        <v>0.9044396765142763</v>
      </c>
      <c r="U33">
        <f>3.8/23</f>
        <v>0.16521739130434782</v>
      </c>
      <c r="V33">
        <f>0.3/39</f>
        <v>0.007692307692307692</v>
      </c>
      <c r="W33">
        <f>16/35.5</f>
        <v>0.4507042253521127</v>
      </c>
      <c r="X33">
        <f>5*2.8737/96</f>
        <v>0.14967187499999998</v>
      </c>
    </row>
    <row r="34" spans="1:19" ht="12.75">
      <c r="A34">
        <f>365+167</f>
        <v>532</v>
      </c>
      <c r="B34" t="s">
        <v>115</v>
      </c>
      <c r="C34">
        <f>(7*60)+11.69</f>
        <v>431.69</v>
      </c>
      <c r="D34" s="10">
        <f t="shared" si="0"/>
        <v>0.0023164771016238503</v>
      </c>
      <c r="E34" s="10">
        <f t="shared" si="2"/>
        <v>2.31647710162385</v>
      </c>
      <c r="F34" s="10">
        <f t="shared" si="3"/>
        <v>0.34747156524357753</v>
      </c>
      <c r="G34" s="10">
        <v>328</v>
      </c>
      <c r="H34" s="10">
        <v>409.5</v>
      </c>
      <c r="I34" s="10">
        <v>25.7</v>
      </c>
      <c r="J34">
        <v>7.1</v>
      </c>
      <c r="S34">
        <f t="shared" si="1"/>
        <v>0.138988626097431</v>
      </c>
    </row>
    <row r="35" spans="1:24" ht="12.75">
      <c r="A35">
        <f>365+190</f>
        <v>555</v>
      </c>
      <c r="B35" t="s">
        <v>116</v>
      </c>
      <c r="C35">
        <f>(7*60)+17.72</f>
        <v>437.72</v>
      </c>
      <c r="D35" s="10">
        <f t="shared" si="0"/>
        <v>0.002284565475646532</v>
      </c>
      <c r="E35" s="10">
        <f t="shared" si="2"/>
        <v>2.2845654756465317</v>
      </c>
      <c r="F35" s="10">
        <f t="shared" si="3"/>
        <v>0.34268482134697975</v>
      </c>
      <c r="G35" s="10">
        <v>334</v>
      </c>
      <c r="H35" s="10">
        <v>413</v>
      </c>
      <c r="I35" s="10">
        <v>21.7</v>
      </c>
      <c r="J35">
        <v>7.9</v>
      </c>
      <c r="M35">
        <f>90.6/40</f>
        <v>2.2649999999999997</v>
      </c>
      <c r="N35">
        <f>5.2/24.3</f>
        <v>0.2139917695473251</v>
      </c>
      <c r="O35">
        <v>662</v>
      </c>
      <c r="P35">
        <f aca="true" t="shared" si="4" ref="P35:P40">O35/88/1000</f>
        <v>0.007522727272727272</v>
      </c>
      <c r="Q35">
        <f aca="true" t="shared" si="5" ref="Q35:Q40">N35/M35</f>
        <v>0.09447760244915017</v>
      </c>
      <c r="R35">
        <f aca="true" t="shared" si="6" ref="R35:R40">24.3/40*1000*Q35</f>
        <v>57.395143487858725</v>
      </c>
      <c r="S35">
        <f t="shared" si="1"/>
        <v>0.1370739285387919</v>
      </c>
      <c r="T35">
        <f aca="true" t="shared" si="7" ref="T35:T40">O35/87.6/M35</f>
        <v>3.3364581128347806</v>
      </c>
      <c r="U35">
        <f>3.1/23</f>
        <v>0.13478260869565217</v>
      </c>
      <c r="V35">
        <f>0.2/39</f>
        <v>0.005128205128205128</v>
      </c>
      <c r="W35">
        <f>15.4/35.5</f>
        <v>0.4338028169014085</v>
      </c>
      <c r="X35">
        <f>5.6*2.8737/96</f>
        <v>0.1676325</v>
      </c>
    </row>
    <row r="36" spans="1:24" ht="12.75">
      <c r="A36">
        <f>365+207</f>
        <v>572</v>
      </c>
      <c r="B36" t="s">
        <v>117</v>
      </c>
      <c r="C36">
        <f>(7*60)+42</f>
        <v>462</v>
      </c>
      <c r="D36" s="10">
        <f t="shared" si="0"/>
        <v>0.0021645021645021645</v>
      </c>
      <c r="E36" s="10">
        <f t="shared" si="2"/>
        <v>2.1645021645021645</v>
      </c>
      <c r="F36" s="10">
        <f t="shared" si="3"/>
        <v>0.3246753246753247</v>
      </c>
      <c r="G36" s="10">
        <v>325</v>
      </c>
      <c r="H36" s="10">
        <v>403</v>
      </c>
      <c r="I36" s="10">
        <v>20.5</v>
      </c>
      <c r="J36">
        <v>7.9</v>
      </c>
      <c r="M36">
        <f>88.2/40</f>
        <v>2.205</v>
      </c>
      <c r="N36">
        <f>4.7/24.3</f>
        <v>0.1934156378600823</v>
      </c>
      <c r="O36">
        <v>646</v>
      </c>
      <c r="P36">
        <f t="shared" si="4"/>
        <v>0.007340909090909091</v>
      </c>
      <c r="Q36">
        <f t="shared" si="5"/>
        <v>0.08771684256693076</v>
      </c>
      <c r="R36">
        <f t="shared" si="6"/>
        <v>53.287981859410436</v>
      </c>
      <c r="S36">
        <f t="shared" si="1"/>
        <v>0.12987012987012986</v>
      </c>
      <c r="T36">
        <f t="shared" si="7"/>
        <v>3.3444123463692934</v>
      </c>
      <c r="U36">
        <f>3.6/23</f>
        <v>0.1565217391304348</v>
      </c>
      <c r="V36">
        <f>0.3/39</f>
        <v>0.007692307692307692</v>
      </c>
      <c r="W36">
        <f>14.5/35.5</f>
        <v>0.4084507042253521</v>
      </c>
      <c r="X36">
        <f>5*2.8737/96</f>
        <v>0.14967187499999998</v>
      </c>
    </row>
    <row r="37" spans="1:24" ht="12.75">
      <c r="A37">
        <f>365+225</f>
        <v>590</v>
      </c>
      <c r="B37" t="s">
        <v>118</v>
      </c>
      <c r="C37">
        <f>(8*60)+3</f>
        <v>483</v>
      </c>
      <c r="D37" s="10">
        <f t="shared" si="0"/>
        <v>0.002070393374741201</v>
      </c>
      <c r="E37" s="10">
        <f t="shared" si="2"/>
        <v>2.070393374741201</v>
      </c>
      <c r="F37" s="10">
        <f t="shared" si="3"/>
        <v>0.3105590062111801</v>
      </c>
      <c r="G37" s="10">
        <v>318</v>
      </c>
      <c r="H37" s="10">
        <v>403.5</v>
      </c>
      <c r="I37" s="10">
        <v>21.4</v>
      </c>
      <c r="J37">
        <v>7.7</v>
      </c>
      <c r="M37">
        <f>83/40</f>
        <v>2.075</v>
      </c>
      <c r="N37">
        <f>4.9/24.3</f>
        <v>0.20164609053497942</v>
      </c>
      <c r="O37">
        <v>868</v>
      </c>
      <c r="P37">
        <f t="shared" si="4"/>
        <v>0.009863636363636363</v>
      </c>
      <c r="Q37">
        <f t="shared" si="5"/>
        <v>0.09717883881203827</v>
      </c>
      <c r="R37">
        <f t="shared" si="6"/>
        <v>59.03614457831325</v>
      </c>
      <c r="S37">
        <f t="shared" si="1"/>
        <v>0.12422360248447206</v>
      </c>
      <c r="T37">
        <f t="shared" si="7"/>
        <v>4.775265445343016</v>
      </c>
      <c r="U37">
        <f>3.3/23</f>
        <v>0.14347826086956522</v>
      </c>
      <c r="V37">
        <f>0.1/39</f>
        <v>0.002564102564102564</v>
      </c>
      <c r="W37">
        <f>15.54/35.5</f>
        <v>0.4377464788732394</v>
      </c>
      <c r="X37">
        <f>3.2*2.8737/96</f>
        <v>0.09579</v>
      </c>
    </row>
    <row r="38" spans="1:24" ht="12.75">
      <c r="A38">
        <f>365+241</f>
        <v>606</v>
      </c>
      <c r="B38" t="s">
        <v>119</v>
      </c>
      <c r="C38">
        <v>501</v>
      </c>
      <c r="D38" s="10">
        <f t="shared" si="0"/>
        <v>0.001996007984031936</v>
      </c>
      <c r="E38" s="10">
        <f t="shared" si="2"/>
        <v>1.996007984031936</v>
      </c>
      <c r="F38" s="10">
        <f t="shared" si="3"/>
        <v>0.2994011976047904</v>
      </c>
      <c r="G38" s="10">
        <v>322</v>
      </c>
      <c r="H38" s="10">
        <v>411.5</v>
      </c>
      <c r="I38" s="10">
        <v>19.6</v>
      </c>
      <c r="J38">
        <v>8</v>
      </c>
      <c r="M38">
        <f>82/40</f>
        <v>2.05</v>
      </c>
      <c r="N38">
        <f>4.9/24.3</f>
        <v>0.20164609053497942</v>
      </c>
      <c r="O38">
        <v>846</v>
      </c>
      <c r="P38">
        <f t="shared" si="4"/>
        <v>0.009613636363636364</v>
      </c>
      <c r="Q38">
        <f t="shared" si="5"/>
        <v>0.09836394660242899</v>
      </c>
      <c r="R38">
        <f t="shared" si="6"/>
        <v>59.75609756097561</v>
      </c>
      <c r="S38">
        <f t="shared" si="1"/>
        <v>0.11976047904191615</v>
      </c>
      <c r="T38">
        <f t="shared" si="7"/>
        <v>4.710992315402607</v>
      </c>
      <c r="U38">
        <f>4.1/23</f>
        <v>0.1782608695652174</v>
      </c>
      <c r="V38">
        <f>0.2/39</f>
        <v>0.005128205128205128</v>
      </c>
      <c r="W38">
        <f>19.53/35.5</f>
        <v>0.5501408450704226</v>
      </c>
      <c r="X38">
        <f>3.6*2.8737/96</f>
        <v>0.10776374999999999</v>
      </c>
    </row>
    <row r="39" spans="1:24" ht="12.75">
      <c r="A39">
        <f>365+251</f>
        <v>616</v>
      </c>
      <c r="B39" t="s">
        <v>120</v>
      </c>
      <c r="C39">
        <f>(6*60)+43.18</f>
        <v>403.18</v>
      </c>
      <c r="D39" s="10">
        <f t="shared" si="0"/>
        <v>0.0024802817600079368</v>
      </c>
      <c r="E39" s="10">
        <f t="shared" si="2"/>
        <v>2.4802817600079368</v>
      </c>
      <c r="F39" s="10">
        <f t="shared" si="3"/>
        <v>0.3720422640011905</v>
      </c>
      <c r="G39" s="10">
        <v>316</v>
      </c>
      <c r="H39" s="10">
        <v>408.5</v>
      </c>
      <c r="I39" s="10">
        <v>21.3</v>
      </c>
      <c r="J39">
        <v>7.7</v>
      </c>
      <c r="M39">
        <f>79/40</f>
        <v>1.975</v>
      </c>
      <c r="N39">
        <f>5.2/24.3</f>
        <v>0.2139917695473251</v>
      </c>
      <c r="O39">
        <v>727</v>
      </c>
      <c r="P39">
        <f t="shared" si="4"/>
        <v>0.008261363636363636</v>
      </c>
      <c r="Q39">
        <f t="shared" si="5"/>
        <v>0.10835026306193675</v>
      </c>
      <c r="R39">
        <f t="shared" si="6"/>
        <v>65.82278481012658</v>
      </c>
      <c r="S39">
        <f t="shared" si="1"/>
        <v>0.1488169056004762</v>
      </c>
      <c r="T39">
        <f t="shared" si="7"/>
        <v>4.202069244552337</v>
      </c>
      <c r="U39">
        <f>3.3/23</f>
        <v>0.14347826086956522</v>
      </c>
      <c r="V39">
        <f>0.3/39</f>
        <v>0.007692307692307692</v>
      </c>
      <c r="W39">
        <f>14.8/35.5</f>
        <v>0.4169014084507042</v>
      </c>
      <c r="X39">
        <f>(2.8737*4.9)/96</f>
        <v>0.1466784375</v>
      </c>
    </row>
    <row r="40" spans="1:24" ht="12.75">
      <c r="A40">
        <f>626</f>
        <v>626</v>
      </c>
      <c r="B40" t="s">
        <v>121</v>
      </c>
      <c r="C40">
        <f>(6*60)+35.62</f>
        <v>395.62</v>
      </c>
      <c r="D40" s="10">
        <f t="shared" si="0"/>
        <v>0.0025276780749203783</v>
      </c>
      <c r="E40" s="10">
        <f t="shared" si="2"/>
        <v>2.527678074920378</v>
      </c>
      <c r="F40" s="10">
        <f t="shared" si="3"/>
        <v>0.37915171123805674</v>
      </c>
      <c r="G40" s="10">
        <v>328</v>
      </c>
      <c r="H40" s="10">
        <v>394.5</v>
      </c>
      <c r="I40" s="10">
        <v>18.9</v>
      </c>
      <c r="J40">
        <v>7.38</v>
      </c>
      <c r="K40">
        <v>682</v>
      </c>
      <c r="M40">
        <f>79/40</f>
        <v>1.975</v>
      </c>
      <c r="N40">
        <f>4.9/24.3</f>
        <v>0.20164609053497942</v>
      </c>
      <c r="O40">
        <v>482</v>
      </c>
      <c r="P40">
        <f t="shared" si="4"/>
        <v>0.005477272727272727</v>
      </c>
      <c r="Q40">
        <f t="shared" si="5"/>
        <v>0.10209928634682502</v>
      </c>
      <c r="R40">
        <f t="shared" si="6"/>
        <v>62.0253164556962</v>
      </c>
      <c r="S40">
        <f t="shared" si="1"/>
        <v>0.1516606844952227</v>
      </c>
      <c r="T40">
        <f t="shared" si="7"/>
        <v>2.7859661291254842</v>
      </c>
      <c r="U40">
        <f>3.4/23</f>
        <v>0.14782608695652175</v>
      </c>
      <c r="V40">
        <f>0.4/39</f>
        <v>0.010256410256410256</v>
      </c>
      <c r="W40">
        <f>14.5/35.5</f>
        <v>0.4084507042253521</v>
      </c>
      <c r="X40">
        <f>(2.8737*5.6)/96</f>
        <v>0.1676325</v>
      </c>
    </row>
    <row r="41" spans="1:19" ht="12.75">
      <c r="A41">
        <v>636</v>
      </c>
      <c r="B41" t="s">
        <v>78</v>
      </c>
      <c r="C41">
        <f>(6*60)+32.49</f>
        <v>392.49</v>
      </c>
      <c r="D41" s="10">
        <f t="shared" si="0"/>
        <v>0.0025478356136462077</v>
      </c>
      <c r="E41" s="10">
        <f t="shared" si="2"/>
        <v>2.5478356136462077</v>
      </c>
      <c r="F41" s="10">
        <f t="shared" si="3"/>
        <v>0.38217534204693115</v>
      </c>
      <c r="G41" s="10">
        <v>328</v>
      </c>
      <c r="H41" s="10">
        <v>409.5</v>
      </c>
      <c r="I41" s="10">
        <v>27</v>
      </c>
      <c r="J41">
        <v>7.5</v>
      </c>
      <c r="S41">
        <f t="shared" si="1"/>
        <v>0.15287013681877246</v>
      </c>
    </row>
    <row r="42" spans="1:24" ht="12.75">
      <c r="A42">
        <f>365+281</f>
        <v>646</v>
      </c>
      <c r="B42" t="s">
        <v>122</v>
      </c>
      <c r="C42">
        <f>(6*60)+29.56</f>
        <v>389.56</v>
      </c>
      <c r="D42" s="10">
        <f t="shared" si="0"/>
        <v>0.002566998665160694</v>
      </c>
      <c r="E42" s="10">
        <f t="shared" si="2"/>
        <v>2.566998665160694</v>
      </c>
      <c r="F42" s="10">
        <f t="shared" si="3"/>
        <v>0.3850497997741041</v>
      </c>
      <c r="G42" s="10">
        <v>332</v>
      </c>
      <c r="H42" s="10">
        <v>414.5</v>
      </c>
      <c r="I42" s="10">
        <v>18.7</v>
      </c>
      <c r="J42">
        <v>7.67</v>
      </c>
      <c r="M42">
        <f>84/40</f>
        <v>2.1</v>
      </c>
      <c r="N42">
        <f>5/24.3</f>
        <v>0.205761316872428</v>
      </c>
      <c r="O42">
        <v>383</v>
      </c>
      <c r="P42">
        <f>O42/88/1000</f>
        <v>0.004352272727272727</v>
      </c>
      <c r="Q42">
        <f>N42/M42</f>
        <v>0.09798157946306095</v>
      </c>
      <c r="R42">
        <f>24.3/40*1000*Q42</f>
        <v>59.523809523809526</v>
      </c>
      <c r="S42">
        <f t="shared" si="1"/>
        <v>0.15401991990964164</v>
      </c>
      <c r="T42">
        <f>O42/87.6/M42</f>
        <v>2.0819743422483152</v>
      </c>
      <c r="U42">
        <f>4.6/23</f>
        <v>0.19999999999999998</v>
      </c>
      <c r="V42">
        <f>0.5/39</f>
        <v>0.01282051282051282</v>
      </c>
      <c r="W42">
        <f>43.9/35.5</f>
        <v>1.236619718309859</v>
      </c>
      <c r="X42">
        <f>(2.8737*4.1)/96</f>
        <v>0.12273093749999998</v>
      </c>
    </row>
    <row r="43" spans="1:10" ht="12.75">
      <c r="A43">
        <v>656</v>
      </c>
      <c r="B43" t="s">
        <v>80</v>
      </c>
      <c r="C43">
        <f>(6*60)+20.01</f>
        <v>380.01</v>
      </c>
      <c r="D43" s="10">
        <f t="shared" si="0"/>
        <v>0.002631509697113234</v>
      </c>
      <c r="E43" s="10">
        <f t="shared" si="2"/>
        <v>2.631509697113234</v>
      </c>
      <c r="F43" s="10">
        <f t="shared" si="3"/>
        <v>0.39472645456698513</v>
      </c>
      <c r="G43" s="10"/>
      <c r="H43" s="10"/>
      <c r="I43" s="10"/>
      <c r="J43">
        <v>7.7</v>
      </c>
    </row>
    <row r="44" spans="1:10" ht="12.75">
      <c r="A44">
        <v>665</v>
      </c>
      <c r="B44" t="s">
        <v>81</v>
      </c>
      <c r="C44">
        <v>381</v>
      </c>
      <c r="D44" s="10">
        <f t="shared" si="0"/>
        <v>0.0026246719160104987</v>
      </c>
      <c r="E44" s="10">
        <f t="shared" si="2"/>
        <v>2.6246719160104988</v>
      </c>
      <c r="F44" s="10">
        <f t="shared" si="3"/>
        <v>0.3937007874015748</v>
      </c>
      <c r="G44" s="10">
        <v>324</v>
      </c>
      <c r="H44" s="10">
        <v>403.5</v>
      </c>
      <c r="I44" s="10">
        <v>20.6</v>
      </c>
      <c r="J44">
        <v>7.6</v>
      </c>
    </row>
    <row r="45" spans="1:10" ht="12.75">
      <c r="A45">
        <f>365+321</f>
        <v>686</v>
      </c>
      <c r="B45" t="s">
        <v>82</v>
      </c>
      <c r="C45">
        <v>353</v>
      </c>
      <c r="D45" s="10">
        <f t="shared" si="0"/>
        <v>0.0028328611898017</v>
      </c>
      <c r="E45" s="10">
        <f t="shared" si="2"/>
        <v>2.8328611898017</v>
      </c>
      <c r="F45" s="10">
        <f t="shared" si="3"/>
        <v>0.42492917847025496</v>
      </c>
      <c r="G45" s="10"/>
      <c r="H45" s="10"/>
      <c r="I45" s="10"/>
      <c r="J45">
        <v>7.6</v>
      </c>
    </row>
    <row r="46" spans="1:10" ht="12.75">
      <c r="A46">
        <f>365+338</f>
        <v>703</v>
      </c>
      <c r="B46" t="s">
        <v>123</v>
      </c>
      <c r="C46">
        <v>340</v>
      </c>
      <c r="D46" s="10">
        <f t="shared" si="0"/>
        <v>0.0029411764705882353</v>
      </c>
      <c r="E46" s="10">
        <f t="shared" si="2"/>
        <v>2.941176470588235</v>
      </c>
      <c r="F46" s="10">
        <f t="shared" si="3"/>
        <v>0.4411764705882352</v>
      </c>
      <c r="G46" s="10">
        <v>330</v>
      </c>
      <c r="H46" s="10">
        <v>411.5</v>
      </c>
      <c r="I46" s="10">
        <v>14.8</v>
      </c>
      <c r="J46">
        <v>7.83</v>
      </c>
    </row>
    <row r="47" spans="1:24" ht="12.75">
      <c r="A47">
        <f>365+354</f>
        <v>719</v>
      </c>
      <c r="B47" t="s">
        <v>124</v>
      </c>
      <c r="C47">
        <v>345</v>
      </c>
      <c r="D47" s="10">
        <f t="shared" si="0"/>
        <v>0.002898550724637681</v>
      </c>
      <c r="E47" s="10">
        <f t="shared" si="2"/>
        <v>2.898550724637681</v>
      </c>
      <c r="F47" s="10">
        <f t="shared" si="3"/>
        <v>0.43478260869565216</v>
      </c>
      <c r="G47" s="10">
        <v>326</v>
      </c>
      <c r="H47" s="10">
        <v>411</v>
      </c>
      <c r="I47" s="10">
        <v>32.1</v>
      </c>
      <c r="M47">
        <f>8.9/4</f>
        <v>2.225</v>
      </c>
      <c r="N47">
        <f>5.4/24.3</f>
        <v>0.22222222222222224</v>
      </c>
      <c r="O47">
        <v>383</v>
      </c>
      <c r="P47">
        <f>O47/88/1000</f>
        <v>0.004352272727272727</v>
      </c>
      <c r="U47">
        <f>3.4/23</f>
        <v>0.14782608695652175</v>
      </c>
      <c r="V47">
        <f>0.4/39</f>
        <v>0.010256410256410256</v>
      </c>
      <c r="W47">
        <f>14.3/35.5</f>
        <v>0.4028169014084507</v>
      </c>
      <c r="X47">
        <f>(2.8737*4)/96</f>
        <v>0.1197375</v>
      </c>
    </row>
    <row r="48" spans="1:24" ht="12.75">
      <c r="A48">
        <v>738</v>
      </c>
      <c r="B48" t="s">
        <v>125</v>
      </c>
      <c r="C48">
        <v>321</v>
      </c>
      <c r="D48" s="10">
        <f t="shared" si="0"/>
        <v>0.003115264797507788</v>
      </c>
      <c r="E48" s="10">
        <f t="shared" si="2"/>
        <v>3.115264797507788</v>
      </c>
      <c r="F48" s="10">
        <f t="shared" si="3"/>
        <v>0.46728971962616817</v>
      </c>
      <c r="G48" s="12"/>
      <c r="H48" s="12"/>
      <c r="I48" s="12"/>
      <c r="J48">
        <v>7.46</v>
      </c>
      <c r="L48" t="s">
        <v>126</v>
      </c>
      <c r="M48" s="16"/>
      <c r="N48">
        <f>5.5/24.3</f>
        <v>0.22633744855967078</v>
      </c>
      <c r="O48">
        <v>627</v>
      </c>
      <c r="U48">
        <f>4.6/23</f>
        <v>0.19999999999999998</v>
      </c>
      <c r="V48">
        <f>0.4/39</f>
        <v>0.010256410256410256</v>
      </c>
      <c r="W48">
        <f>14.9/35.5</f>
        <v>0.4197183098591549</v>
      </c>
      <c r="X48">
        <f>(2.8737*5)/96</f>
        <v>0.14967187499999998</v>
      </c>
    </row>
    <row r="49" spans="1:9" ht="12.75">
      <c r="A49">
        <v>765</v>
      </c>
      <c r="B49" t="s">
        <v>87</v>
      </c>
      <c r="C49">
        <v>328</v>
      </c>
      <c r="D49" s="10">
        <f t="shared" si="0"/>
        <v>0.003048780487804878</v>
      </c>
      <c r="E49" s="10">
        <f t="shared" si="2"/>
        <v>3.048780487804878</v>
      </c>
      <c r="F49" s="10">
        <f t="shared" si="3"/>
        <v>0.45731707317073167</v>
      </c>
      <c r="G49" s="12">
        <v>295</v>
      </c>
      <c r="H49" s="12">
        <v>408</v>
      </c>
      <c r="I49" s="12">
        <v>53.9</v>
      </c>
    </row>
    <row r="50" spans="1:10" ht="12.75">
      <c r="A50">
        <v>789</v>
      </c>
      <c r="B50" t="s">
        <v>88</v>
      </c>
      <c r="C50">
        <v>352</v>
      </c>
      <c r="D50" s="10">
        <f t="shared" si="0"/>
        <v>0.002840909090909091</v>
      </c>
      <c r="E50" s="10">
        <f t="shared" si="2"/>
        <v>2.840909090909091</v>
      </c>
      <c r="F50" s="10">
        <f t="shared" si="3"/>
        <v>0.4261363636363636</v>
      </c>
      <c r="G50">
        <v>315</v>
      </c>
      <c r="H50">
        <v>416.5</v>
      </c>
      <c r="I50">
        <v>53.8</v>
      </c>
      <c r="J50">
        <v>7.58</v>
      </c>
    </row>
    <row r="51" spans="4:6" ht="12.75">
      <c r="D51" s="12"/>
      <c r="E51" s="12"/>
      <c r="F51" s="12"/>
    </row>
    <row r="52" spans="4:9" ht="12.75">
      <c r="D52" s="12"/>
      <c r="E52" s="12"/>
      <c r="F52" s="12"/>
      <c r="G52" s="12"/>
      <c r="H52" s="12"/>
      <c r="I52" s="12"/>
    </row>
    <row r="53" spans="3:9" ht="12.75">
      <c r="C53" t="s">
        <v>89</v>
      </c>
      <c r="D53" s="10">
        <f>AVERAGE(D18:D51)</f>
        <v>0.0025599579401916124</v>
      </c>
      <c r="E53" s="10"/>
      <c r="F53" s="10"/>
      <c r="G53" s="12"/>
      <c r="H53" s="12"/>
      <c r="I53" s="12"/>
    </row>
    <row r="54" spans="3:9" ht="12.75">
      <c r="C54" t="s">
        <v>90</v>
      </c>
      <c r="D54" s="10">
        <f>STDEV(D18:D51)</f>
        <v>0.0002623828117899846</v>
      </c>
      <c r="E54" s="10"/>
      <c r="F54" s="10"/>
      <c r="G54" s="12"/>
      <c r="H54" s="12"/>
      <c r="I54" s="12"/>
    </row>
    <row r="55" spans="3:9" ht="12.75">
      <c r="C55" t="s">
        <v>91</v>
      </c>
      <c r="D55" s="10">
        <f>D54/D53*100</f>
        <v>10.24949698081154</v>
      </c>
      <c r="E55" s="10"/>
      <c r="F55" s="10"/>
      <c r="G55" s="12">
        <f>AVERAGE(G5:G47)</f>
        <v>325.25</v>
      </c>
      <c r="H55" s="12">
        <f>AVERAGE(H5:H47)</f>
        <v>407.875</v>
      </c>
      <c r="I55" s="12">
        <f>AVERAGE(I5:I47)</f>
        <v>23.880000000000003</v>
      </c>
    </row>
    <row r="56" spans="4:9" ht="12.75">
      <c r="D56" s="12"/>
      <c r="E56" s="12"/>
      <c r="F56" s="12"/>
      <c r="G56" s="12">
        <f>STDEV(G5:G47)</f>
        <v>4.411408654363079</v>
      </c>
      <c r="H56" s="12">
        <f>STDEV(H5:H47)</f>
        <v>5.144938749571477</v>
      </c>
      <c r="I56" s="12">
        <f>STDEV(I5:I47)</f>
        <v>10.868573721369428</v>
      </c>
    </row>
    <row r="57" spans="4:9" ht="12.75">
      <c r="D57" s="12"/>
      <c r="E57" s="12"/>
      <c r="F57" s="12"/>
      <c r="G57" s="12"/>
      <c r="H57" s="12"/>
      <c r="I57" s="12"/>
    </row>
    <row r="58" spans="2:24" ht="12.75">
      <c r="B58" t="s">
        <v>92</v>
      </c>
      <c r="D58" s="12">
        <f>MAX(D8:D51)</f>
        <v>0.003115264797507788</v>
      </c>
      <c r="E58" s="12"/>
      <c r="F58" s="12"/>
      <c r="G58" s="12"/>
      <c r="H58" s="12"/>
      <c r="I58" s="12" t="s">
        <v>93</v>
      </c>
      <c r="J58">
        <f aca="true" t="shared" si="8" ref="J58:Q58">MIN(J8:J52)</f>
        <v>7.1</v>
      </c>
      <c r="K58">
        <f t="shared" si="8"/>
        <v>365</v>
      </c>
      <c r="L58">
        <f t="shared" si="8"/>
        <v>0</v>
      </c>
      <c r="M58">
        <f t="shared" si="8"/>
        <v>1.975</v>
      </c>
      <c r="N58">
        <f t="shared" si="8"/>
        <v>0.18930041152263372</v>
      </c>
      <c r="O58">
        <f t="shared" si="8"/>
        <v>146.5</v>
      </c>
      <c r="P58">
        <f t="shared" si="8"/>
        <v>0.0016647727272727272</v>
      </c>
      <c r="Q58">
        <f t="shared" si="8"/>
        <v>0.07838526357044875</v>
      </c>
      <c r="T58">
        <f>MIN(T8:T52)</f>
        <v>0.7778485717319742</v>
      </c>
      <c r="U58">
        <f>MIN(U8:U52)</f>
        <v>0.11739130434782609</v>
      </c>
      <c r="V58">
        <f>MIN(V8:V52)</f>
        <v>0.002564102564102564</v>
      </c>
      <c r="W58">
        <f>MIN(W8:W52)</f>
        <v>0.4028169014084507</v>
      </c>
      <c r="X58">
        <f>MIN(X8:X52)</f>
        <v>0.089803125</v>
      </c>
    </row>
    <row r="59" spans="2:9" ht="12.75">
      <c r="B59" t="s">
        <v>94</v>
      </c>
      <c r="D59" s="17">
        <f>D58/1000*0.15</f>
        <v>4.672897196261682E-07</v>
      </c>
      <c r="E59" s="17"/>
      <c r="F59" s="17"/>
      <c r="G59" s="12"/>
      <c r="H59" s="12"/>
      <c r="I59" s="12"/>
    </row>
    <row r="60" spans="4:9" ht="12.75">
      <c r="D60" s="12"/>
      <c r="E60" s="12"/>
      <c r="F60" s="12"/>
      <c r="G60" s="12"/>
      <c r="H60" s="12"/>
      <c r="I60" s="12"/>
    </row>
    <row r="61" spans="4:9" ht="12.75">
      <c r="D61" s="12"/>
      <c r="E61" s="12"/>
      <c r="F61" s="12"/>
      <c r="G61" s="12"/>
      <c r="H61" s="12"/>
      <c r="I61" s="12"/>
    </row>
    <row r="62" spans="4:9" ht="12.75">
      <c r="D62" s="12"/>
      <c r="E62" s="12"/>
      <c r="F62" s="12"/>
      <c r="G62" s="12"/>
      <c r="H62" s="12"/>
      <c r="I62" s="12"/>
    </row>
    <row r="63" spans="4:9" ht="12.75">
      <c r="D63" s="12"/>
      <c r="E63" s="12"/>
      <c r="F63" s="12"/>
      <c r="G63" s="12"/>
      <c r="H63" s="12"/>
      <c r="I63" s="12"/>
    </row>
    <row r="64" spans="4:9" ht="12.75">
      <c r="D64" s="12"/>
      <c r="E64" s="12"/>
      <c r="F64" s="12"/>
      <c r="G64" s="12"/>
      <c r="H64" s="12"/>
      <c r="I64" s="12"/>
    </row>
    <row r="65" spans="4:9" ht="12.75">
      <c r="D65" s="12"/>
      <c r="E65" s="12"/>
      <c r="F65" s="12"/>
      <c r="G65" s="12"/>
      <c r="H65" s="12"/>
      <c r="I65" s="12"/>
    </row>
    <row r="66" spans="4:9" ht="12.75">
      <c r="D66" s="12"/>
      <c r="E66" s="12"/>
      <c r="F66" s="12"/>
      <c r="G66" s="12"/>
      <c r="H66" s="12"/>
      <c r="I66" s="12"/>
    </row>
    <row r="67" spans="4:9" ht="12.75">
      <c r="D67" s="12"/>
      <c r="E67" s="12"/>
      <c r="F67" s="12"/>
      <c r="G67" s="12"/>
      <c r="H67" s="12"/>
      <c r="I67" s="12"/>
    </row>
    <row r="68" spans="4:9" ht="12.75">
      <c r="D68" s="12"/>
      <c r="E68" s="12"/>
      <c r="F68" s="12"/>
      <c r="G68" s="12"/>
      <c r="H68" s="12"/>
      <c r="I68" s="12"/>
    </row>
    <row r="69" spans="4:9" ht="12.75">
      <c r="D69" s="12"/>
      <c r="E69" s="12"/>
      <c r="F69" s="12"/>
      <c r="G69" s="12"/>
      <c r="H69" s="12"/>
      <c r="I69" s="12"/>
    </row>
    <row r="70" spans="4:9" ht="12.75">
      <c r="D70" s="12"/>
      <c r="E70" s="12"/>
      <c r="F70" s="12"/>
      <c r="G70" s="12"/>
      <c r="H70" s="12"/>
      <c r="I70" s="12"/>
    </row>
    <row r="71" spans="4:9" ht="12.75">
      <c r="D71" s="12"/>
      <c r="E71" s="12"/>
      <c r="F71" s="12"/>
      <c r="G71" s="12"/>
      <c r="H71" s="12"/>
      <c r="I71" s="12"/>
    </row>
    <row r="72" spans="4:9" ht="12.75">
      <c r="D72" s="12"/>
      <c r="E72" s="12"/>
      <c r="F72" s="12"/>
      <c r="G72" s="12"/>
      <c r="H72" s="12"/>
      <c r="I72" s="12"/>
    </row>
    <row r="73" spans="4:9" ht="12.75">
      <c r="D73" s="12"/>
      <c r="E73" s="12"/>
      <c r="F73" s="12"/>
      <c r="G73" s="12"/>
      <c r="H73" s="12"/>
      <c r="I73" s="12"/>
    </row>
    <row r="74" spans="4:9" ht="12.75">
      <c r="D74" s="12"/>
      <c r="E74" s="12"/>
      <c r="F74" s="12"/>
      <c r="G74" s="12"/>
      <c r="H74" s="12"/>
      <c r="I74" s="12"/>
    </row>
    <row r="75" spans="4:9" ht="12.75">
      <c r="D75" s="12"/>
      <c r="E75" s="12"/>
      <c r="F75" s="12"/>
      <c r="G75" s="12"/>
      <c r="H75" s="12"/>
      <c r="I75" s="12"/>
    </row>
    <row r="76" spans="4:9" ht="12.75">
      <c r="D76" s="12"/>
      <c r="E76" s="12"/>
      <c r="F76" s="12"/>
      <c r="G76" s="12"/>
      <c r="H76" s="12"/>
      <c r="I76" s="12"/>
    </row>
    <row r="77" spans="4:9" ht="12.75">
      <c r="D77" s="12"/>
      <c r="E77" s="12"/>
      <c r="F77" s="12"/>
      <c r="G77" s="12"/>
      <c r="H77" s="12"/>
      <c r="I77" s="12"/>
    </row>
    <row r="78" spans="4:9" ht="12.75">
      <c r="D78" s="12"/>
      <c r="E78" s="12"/>
      <c r="F78" s="12"/>
      <c r="G78" s="12"/>
      <c r="H78" s="12"/>
      <c r="I78" s="12"/>
    </row>
    <row r="79" spans="4:9" ht="12.75">
      <c r="D79" s="12"/>
      <c r="E79" s="12"/>
      <c r="F79" s="12"/>
      <c r="G79" s="12"/>
      <c r="H79" s="12"/>
      <c r="I79" s="12"/>
    </row>
    <row r="80" spans="4:9" ht="12.75">
      <c r="D80" s="12"/>
      <c r="E80" s="12"/>
      <c r="F80" s="12"/>
      <c r="G80" s="12"/>
      <c r="H80" s="12"/>
      <c r="I80" s="12"/>
    </row>
    <row r="81" spans="4:9" ht="12.75">
      <c r="D81" s="12"/>
      <c r="E81" s="12"/>
      <c r="F81" s="12"/>
      <c r="G81" s="12"/>
      <c r="H81" s="12"/>
      <c r="I81" s="12"/>
    </row>
    <row r="82" spans="4:9" ht="12.75">
      <c r="D82" s="12"/>
      <c r="E82" s="12"/>
      <c r="F82" s="12"/>
      <c r="G82" s="12"/>
      <c r="H82" s="12"/>
      <c r="I82" s="12"/>
    </row>
    <row r="83" spans="4:9" ht="12.75">
      <c r="D83" s="12"/>
      <c r="E83" s="12"/>
      <c r="F83" s="12"/>
      <c r="G83" s="12"/>
      <c r="H83" s="12"/>
      <c r="I83" s="12"/>
    </row>
    <row r="84" spans="4:9" ht="12.75">
      <c r="D84" s="12"/>
      <c r="E84" s="12"/>
      <c r="F84" s="12"/>
      <c r="G84" s="12"/>
      <c r="H84" s="12"/>
      <c r="I84" s="12"/>
    </row>
    <row r="85" spans="4:9" ht="12.75">
      <c r="D85" s="12"/>
      <c r="E85" s="12"/>
      <c r="F85" s="12"/>
      <c r="G85" s="12"/>
      <c r="H85" s="12"/>
      <c r="I85" s="12"/>
    </row>
    <row r="86" spans="4:9" ht="12.75">
      <c r="D86" s="12"/>
      <c r="E86" s="12"/>
      <c r="F86" s="12"/>
      <c r="G86" s="12"/>
      <c r="H86" s="12"/>
      <c r="I86" s="12"/>
    </row>
    <row r="87" spans="4:9" ht="12.75">
      <c r="D87" s="12"/>
      <c r="E87" s="12"/>
      <c r="F87" s="12"/>
      <c r="G87" s="12"/>
      <c r="H87" s="12"/>
      <c r="I87" s="12"/>
    </row>
    <row r="88" spans="4:9" ht="12.75">
      <c r="D88" s="12"/>
      <c r="E88" s="12"/>
      <c r="F88" s="12"/>
      <c r="G88" s="12"/>
      <c r="H88" s="12"/>
      <c r="I88" s="12"/>
    </row>
    <row r="89" spans="4:9" ht="12.75">
      <c r="D89" s="12"/>
      <c r="E89" s="12"/>
      <c r="F89" s="12"/>
      <c r="G89" s="12"/>
      <c r="H89" s="12"/>
      <c r="I89" s="12"/>
    </row>
    <row r="90" spans="4:9" ht="12.75">
      <c r="D90" s="12"/>
      <c r="E90" s="12"/>
      <c r="F90" s="12"/>
      <c r="G90" s="12"/>
      <c r="H90" s="12"/>
      <c r="I90" s="12"/>
    </row>
    <row r="91" spans="4:9" ht="12.75">
      <c r="D91" s="12"/>
      <c r="E91" s="12"/>
      <c r="F91" s="12"/>
      <c r="G91" s="12"/>
      <c r="H91" s="12"/>
      <c r="I91" s="12"/>
    </row>
    <row r="92" spans="4:9" ht="12.75">
      <c r="D92" s="12"/>
      <c r="E92" s="12"/>
      <c r="F92" s="12"/>
      <c r="G92" s="12"/>
      <c r="H92" s="12"/>
      <c r="I92" s="12"/>
    </row>
    <row r="93" spans="4:9" ht="12.75">
      <c r="D93" s="12"/>
      <c r="E93" s="12"/>
      <c r="F93" s="12"/>
      <c r="G93" s="12"/>
      <c r="H93" s="12"/>
      <c r="I93" s="12"/>
    </row>
    <row r="94" spans="4:9" ht="12.75">
      <c r="D94" s="12"/>
      <c r="E94" s="12"/>
      <c r="F94" s="12"/>
      <c r="G94" s="12"/>
      <c r="H94" s="12"/>
      <c r="I94" s="12"/>
    </row>
    <row r="95" spans="4:9" ht="12.75">
      <c r="D95" s="12"/>
      <c r="E95" s="12"/>
      <c r="F95" s="12"/>
      <c r="G95" s="12"/>
      <c r="H95" s="12"/>
      <c r="I95" s="12"/>
    </row>
    <row r="96" spans="4:9" ht="12.75">
      <c r="D96" s="12"/>
      <c r="E96" s="12"/>
      <c r="F96" s="12"/>
      <c r="G96" s="12"/>
      <c r="H96" s="12"/>
      <c r="I96" s="12"/>
    </row>
    <row r="97" spans="4:9" ht="12.75">
      <c r="D97" s="12"/>
      <c r="E97" s="12"/>
      <c r="F97" s="12"/>
      <c r="G97" s="12"/>
      <c r="H97" s="12"/>
      <c r="I97" s="12"/>
    </row>
    <row r="98" spans="4:9" ht="12.75">
      <c r="D98" s="12"/>
      <c r="E98" s="12"/>
      <c r="F98" s="12"/>
      <c r="G98" s="12"/>
      <c r="H98" s="12"/>
      <c r="I98" s="12"/>
    </row>
    <row r="99" spans="4:9" ht="12.75">
      <c r="D99" s="12"/>
      <c r="E99" s="12"/>
      <c r="F99" s="12"/>
      <c r="G99" s="12"/>
      <c r="H99" s="12"/>
      <c r="I99" s="12"/>
    </row>
    <row r="100" spans="4:9" ht="12.75">
      <c r="D100" s="12"/>
      <c r="E100" s="12"/>
      <c r="F100" s="12"/>
      <c r="G100" s="12"/>
      <c r="H100" s="12"/>
      <c r="I100" s="12"/>
    </row>
    <row r="101" spans="4:9" ht="12.75">
      <c r="D101" s="12"/>
      <c r="E101" s="12"/>
      <c r="F101" s="12"/>
      <c r="G101" s="12"/>
      <c r="H101" s="12"/>
      <c r="I101" s="12"/>
    </row>
    <row r="102" spans="4:9" ht="12.75">
      <c r="D102" s="12"/>
      <c r="E102" s="12"/>
      <c r="F102" s="12"/>
      <c r="G102" s="12"/>
      <c r="H102" s="12"/>
      <c r="I102" s="12"/>
    </row>
    <row r="103" spans="4:9" ht="12.75">
      <c r="D103" s="12"/>
      <c r="E103" s="12"/>
      <c r="F103" s="12"/>
      <c r="G103" s="12"/>
      <c r="H103" s="12"/>
      <c r="I103" s="12"/>
    </row>
    <row r="104" spans="4:9" ht="12.75">
      <c r="D104" s="12"/>
      <c r="E104" s="12"/>
      <c r="F104" s="12"/>
      <c r="G104" s="12"/>
      <c r="H104" s="12"/>
      <c r="I104" s="12"/>
    </row>
    <row r="105" spans="4:9" ht="12.75">
      <c r="D105" s="12"/>
      <c r="E105" s="12"/>
      <c r="F105" s="12"/>
      <c r="G105" s="12"/>
      <c r="H105" s="12"/>
      <c r="I105" s="12"/>
    </row>
    <row r="106" spans="4:9" ht="12.75">
      <c r="D106" s="12"/>
      <c r="E106" s="12"/>
      <c r="F106" s="12"/>
      <c r="G106" s="12"/>
      <c r="H106" s="12"/>
      <c r="I106" s="12"/>
    </row>
    <row r="107" spans="4:9" ht="12.75">
      <c r="D107" s="12"/>
      <c r="E107" s="12"/>
      <c r="F107" s="12"/>
      <c r="G107" s="12"/>
      <c r="H107" s="12"/>
      <c r="I107" s="12"/>
    </row>
    <row r="108" spans="4:9" ht="12.75">
      <c r="D108" s="12"/>
      <c r="E108" s="12"/>
      <c r="F108" s="12"/>
      <c r="G108" s="12"/>
      <c r="H108" s="12"/>
      <c r="I108" s="12"/>
    </row>
    <row r="109" spans="4:9" ht="12.75">
      <c r="D109" s="12"/>
      <c r="E109" s="12"/>
      <c r="F109" s="12"/>
      <c r="G109" s="12"/>
      <c r="H109" s="12"/>
      <c r="I109" s="12"/>
    </row>
    <row r="110" spans="4:9" ht="12.75">
      <c r="D110" s="12"/>
      <c r="E110" s="12"/>
      <c r="F110" s="12"/>
      <c r="G110" s="12"/>
      <c r="H110" s="12"/>
      <c r="I110" s="12"/>
    </row>
    <row r="111" spans="4:9" ht="12.75">
      <c r="D111" s="12"/>
      <c r="E111" s="12"/>
      <c r="F111" s="12"/>
      <c r="G111" s="12"/>
      <c r="H111" s="12"/>
      <c r="I111" s="12"/>
    </row>
    <row r="112" spans="4:9" ht="12.75">
      <c r="D112" s="12"/>
      <c r="E112" s="12"/>
      <c r="F112" s="12"/>
      <c r="G112" s="12"/>
      <c r="H112" s="12"/>
      <c r="I112" s="12"/>
    </row>
    <row r="113" spans="4:9" ht="12.75">
      <c r="D113" s="12"/>
      <c r="E113" s="12"/>
      <c r="F113" s="12"/>
      <c r="G113" s="12"/>
      <c r="H113" s="12"/>
      <c r="I113" s="12"/>
    </row>
    <row r="114" spans="4:9" ht="12.75">
      <c r="D114" s="12"/>
      <c r="E114" s="12"/>
      <c r="F114" s="12"/>
      <c r="G114" s="12"/>
      <c r="H114" s="12"/>
      <c r="I114" s="12"/>
    </row>
    <row r="115" spans="4:9" ht="12.75">
      <c r="D115" s="12"/>
      <c r="E115" s="12"/>
      <c r="F115" s="12"/>
      <c r="G115" s="12"/>
      <c r="H115" s="12"/>
      <c r="I115" s="12"/>
    </row>
    <row r="116" spans="4:9" ht="12.75">
      <c r="D116" s="12"/>
      <c r="E116" s="12"/>
      <c r="F116" s="12"/>
      <c r="G116" s="12"/>
      <c r="H116" s="12"/>
      <c r="I116" s="12"/>
    </row>
    <row r="117" spans="4:9" ht="12.75">
      <c r="D117" s="12"/>
      <c r="E117" s="12"/>
      <c r="F117" s="12"/>
      <c r="G117" s="12"/>
      <c r="H117" s="12"/>
      <c r="I117" s="12"/>
    </row>
    <row r="118" spans="4:9" ht="12.75">
      <c r="D118" s="12"/>
      <c r="E118" s="12"/>
      <c r="F118" s="12"/>
      <c r="G118" s="12"/>
      <c r="H118" s="12"/>
      <c r="I118" s="12"/>
    </row>
    <row r="119" spans="4:9" ht="12.75">
      <c r="D119" s="12"/>
      <c r="E119" s="12"/>
      <c r="F119" s="12"/>
      <c r="G119" s="12"/>
      <c r="H119" s="12"/>
      <c r="I119" s="12"/>
    </row>
    <row r="120" spans="4:9" ht="12.75">
      <c r="D120" s="12"/>
      <c r="E120" s="12"/>
      <c r="F120" s="12"/>
      <c r="G120" s="12"/>
      <c r="H120" s="12"/>
      <c r="I120" s="12"/>
    </row>
    <row r="121" spans="4:9" ht="12.75">
      <c r="D121" s="12"/>
      <c r="E121" s="12"/>
      <c r="F121" s="12"/>
      <c r="G121" s="12"/>
      <c r="H121" s="12"/>
      <c r="I121" s="12"/>
    </row>
    <row r="122" spans="4:9" ht="12.75">
      <c r="D122" s="12"/>
      <c r="E122" s="12"/>
      <c r="F122" s="12"/>
      <c r="G122" s="12"/>
      <c r="H122" s="12"/>
      <c r="I122" s="12"/>
    </row>
    <row r="123" spans="4:9" ht="12.75">
      <c r="D123" s="12"/>
      <c r="E123" s="12"/>
      <c r="F123" s="12"/>
      <c r="G123" s="12"/>
      <c r="H123" s="12"/>
      <c r="I123" s="12"/>
    </row>
    <row r="124" spans="4:9" ht="12.75">
      <c r="D124" s="12"/>
      <c r="E124" s="12"/>
      <c r="F124" s="12"/>
      <c r="G124" s="12"/>
      <c r="H124" s="12"/>
      <c r="I124" s="12"/>
    </row>
    <row r="125" spans="4:9" ht="12.75">
      <c r="D125" s="12"/>
      <c r="E125" s="12"/>
      <c r="F125" s="12"/>
      <c r="G125" s="12"/>
      <c r="H125" s="12"/>
      <c r="I125" s="12"/>
    </row>
    <row r="126" spans="4:9" ht="12.75">
      <c r="D126" s="12"/>
      <c r="E126" s="12"/>
      <c r="F126" s="12"/>
      <c r="G126" s="12"/>
      <c r="H126" s="12"/>
      <c r="I126" s="12"/>
    </row>
    <row r="127" spans="4:9" ht="12.75">
      <c r="D127" s="12"/>
      <c r="E127" s="12"/>
      <c r="F127" s="12"/>
      <c r="G127" s="12"/>
      <c r="H127" s="12"/>
      <c r="I127" s="12"/>
    </row>
    <row r="128" spans="4:9" ht="12.75">
      <c r="D128" s="12"/>
      <c r="E128" s="12"/>
      <c r="F128" s="12"/>
      <c r="G128" s="12"/>
      <c r="H128" s="12"/>
      <c r="I128" s="12"/>
    </row>
    <row r="129" spans="4:9" ht="12.75">
      <c r="D129" s="12"/>
      <c r="E129" s="12"/>
      <c r="F129" s="12"/>
      <c r="G129" s="12"/>
      <c r="H129" s="12"/>
      <c r="I129" s="12"/>
    </row>
    <row r="130" spans="4:9" ht="12.75">
      <c r="D130" s="12"/>
      <c r="E130" s="12"/>
      <c r="F130" s="12"/>
      <c r="G130" s="12"/>
      <c r="H130" s="12"/>
      <c r="I130" s="12"/>
    </row>
    <row r="131" spans="4:9" ht="12.75">
      <c r="D131" s="12"/>
      <c r="E131" s="12"/>
      <c r="F131" s="12"/>
      <c r="G131" s="12"/>
      <c r="H131" s="12"/>
      <c r="I131" s="12"/>
    </row>
    <row r="132" spans="4:9" ht="12.75">
      <c r="D132" s="12"/>
      <c r="E132" s="12"/>
      <c r="F132" s="12"/>
      <c r="G132" s="12"/>
      <c r="H132" s="12"/>
      <c r="I132" s="12"/>
    </row>
    <row r="133" spans="4:9" ht="12.75">
      <c r="D133" s="12"/>
      <c r="E133" s="12"/>
      <c r="F133" s="12"/>
      <c r="G133" s="12"/>
      <c r="H133" s="12"/>
      <c r="I133" s="12"/>
    </row>
    <row r="134" spans="4:9" ht="12.75">
      <c r="D134" s="12"/>
      <c r="E134" s="12"/>
      <c r="F134" s="12"/>
      <c r="G134" s="12"/>
      <c r="H134" s="12"/>
      <c r="I134" s="12"/>
    </row>
    <row r="135" spans="4:9" ht="12.75">
      <c r="D135" s="12"/>
      <c r="E135" s="12"/>
      <c r="F135" s="12"/>
      <c r="G135" s="12"/>
      <c r="H135" s="12"/>
      <c r="I135" s="12"/>
    </row>
    <row r="136" spans="4:9" ht="12.75">
      <c r="D136" s="12"/>
      <c r="E136" s="12"/>
      <c r="F136" s="12"/>
      <c r="G136" s="12"/>
      <c r="H136" s="12"/>
      <c r="I136" s="12"/>
    </row>
    <row r="137" spans="4:9" ht="12.75">
      <c r="D137" s="12"/>
      <c r="E137" s="12"/>
      <c r="F137" s="12"/>
      <c r="G137" s="12"/>
      <c r="H137" s="12"/>
      <c r="I137" s="12"/>
    </row>
    <row r="138" spans="4:9" ht="12.75">
      <c r="D138" s="12"/>
      <c r="E138" s="12"/>
      <c r="F138" s="12"/>
      <c r="G138" s="12"/>
      <c r="H138" s="12"/>
      <c r="I138" s="12"/>
    </row>
    <row r="139" spans="4:9" ht="12.75">
      <c r="D139" s="12"/>
      <c r="E139" s="12"/>
      <c r="F139" s="12"/>
      <c r="G139" s="12"/>
      <c r="H139" s="12"/>
      <c r="I139" s="12"/>
    </row>
    <row r="140" spans="4:9" ht="12.75">
      <c r="D140" s="12"/>
      <c r="E140" s="12"/>
      <c r="F140" s="12"/>
      <c r="G140" s="12"/>
      <c r="H140" s="12"/>
      <c r="I140" s="12"/>
    </row>
    <row r="141" spans="4:9" ht="12.75">
      <c r="D141" s="12"/>
      <c r="E141" s="12"/>
      <c r="F141" s="12"/>
      <c r="G141" s="12"/>
      <c r="H141" s="12"/>
      <c r="I141" s="12"/>
    </row>
    <row r="142" spans="4:9" ht="12.75">
      <c r="D142" s="12"/>
      <c r="E142" s="12"/>
      <c r="F142" s="12"/>
      <c r="G142" s="12"/>
      <c r="H142" s="12"/>
      <c r="I142" s="12"/>
    </row>
    <row r="143" spans="4:9" ht="12.75">
      <c r="D143" s="12"/>
      <c r="E143" s="12"/>
      <c r="F143" s="12"/>
      <c r="G143" s="12"/>
      <c r="H143" s="12"/>
      <c r="I143" s="12"/>
    </row>
    <row r="144" spans="4:9" ht="12.75">
      <c r="D144" s="12"/>
      <c r="E144" s="12"/>
      <c r="F144" s="12"/>
      <c r="G144" s="12"/>
      <c r="H144" s="12"/>
      <c r="I144" s="12"/>
    </row>
    <row r="145" spans="4:9" ht="12.75">
      <c r="D145" s="12"/>
      <c r="E145" s="12"/>
      <c r="F145" s="12"/>
      <c r="G145" s="12"/>
      <c r="H145" s="12"/>
      <c r="I145" s="12"/>
    </row>
    <row r="146" spans="4:9" ht="12.75">
      <c r="D146" s="12"/>
      <c r="E146" s="12"/>
      <c r="F146" s="12"/>
      <c r="G146" s="12"/>
      <c r="H146" s="12"/>
      <c r="I146" s="12"/>
    </row>
    <row r="147" spans="4:9" ht="12.75">
      <c r="D147" s="12"/>
      <c r="E147" s="12"/>
      <c r="F147" s="12"/>
      <c r="G147" s="12"/>
      <c r="H147" s="12"/>
      <c r="I147" s="12"/>
    </row>
    <row r="148" spans="4:9" ht="12.75">
      <c r="D148" s="12"/>
      <c r="E148" s="12"/>
      <c r="F148" s="12"/>
      <c r="G148" s="12"/>
      <c r="H148" s="12"/>
      <c r="I148" s="12"/>
    </row>
    <row r="149" spans="4:9" ht="12.75">
      <c r="D149" s="12"/>
      <c r="E149" s="12"/>
      <c r="F149" s="12"/>
      <c r="G149" s="12"/>
      <c r="H149" s="12"/>
      <c r="I149" s="12"/>
    </row>
    <row r="150" spans="4:9" ht="12.75">
      <c r="D150" s="12"/>
      <c r="E150" s="12"/>
      <c r="F150" s="12"/>
      <c r="G150" s="12"/>
      <c r="H150" s="12"/>
      <c r="I150" s="12"/>
    </row>
    <row r="151" spans="4:9" ht="12.75">
      <c r="D151" s="12"/>
      <c r="E151" s="12"/>
      <c r="F151" s="12"/>
      <c r="G151" s="12"/>
      <c r="H151" s="12"/>
      <c r="I151" s="12"/>
    </row>
    <row r="152" spans="4:9" ht="12.75">
      <c r="D152" s="12"/>
      <c r="E152" s="12"/>
      <c r="F152" s="12"/>
      <c r="G152" s="12"/>
      <c r="H152" s="12"/>
      <c r="I152" s="12"/>
    </row>
    <row r="153" spans="4:9" ht="12.75">
      <c r="D153" s="12"/>
      <c r="E153" s="12"/>
      <c r="F153" s="12"/>
      <c r="G153" s="12"/>
      <c r="H153" s="12"/>
      <c r="I153" s="12"/>
    </row>
    <row r="154" spans="4:9" ht="12.75">
      <c r="D154" s="12"/>
      <c r="E154" s="12"/>
      <c r="F154" s="12"/>
      <c r="G154" s="12"/>
      <c r="H154" s="12"/>
      <c r="I154" s="12"/>
    </row>
    <row r="155" spans="4:9" ht="12.75">
      <c r="D155" s="12"/>
      <c r="E155" s="12"/>
      <c r="F155" s="12"/>
      <c r="G155" s="12"/>
      <c r="H155" s="12"/>
      <c r="I155" s="12"/>
    </row>
    <row r="156" spans="4:9" ht="12.75">
      <c r="D156" s="12"/>
      <c r="E156" s="12"/>
      <c r="F156" s="12"/>
      <c r="G156" s="12"/>
      <c r="H156" s="12"/>
      <c r="I156" s="12"/>
    </row>
    <row r="157" spans="4:9" ht="12.75">
      <c r="D157" s="12"/>
      <c r="E157" s="12"/>
      <c r="F157" s="12"/>
      <c r="G157" s="12"/>
      <c r="H157" s="12"/>
      <c r="I157" s="12"/>
    </row>
    <row r="158" spans="4:9" ht="12.75">
      <c r="D158" s="12"/>
      <c r="E158" s="12"/>
      <c r="F158" s="12"/>
      <c r="G158" s="12"/>
      <c r="H158" s="12"/>
      <c r="I158" s="12"/>
    </row>
    <row r="159" spans="4:9" ht="12.75">
      <c r="D159" s="12"/>
      <c r="E159" s="12"/>
      <c r="F159" s="12"/>
      <c r="G159" s="12"/>
      <c r="H159" s="12"/>
      <c r="I159" s="12"/>
    </row>
    <row r="160" spans="4:9" ht="12.75">
      <c r="D160" s="12"/>
      <c r="E160" s="12"/>
      <c r="F160" s="12"/>
      <c r="G160" s="12"/>
      <c r="H160" s="12"/>
      <c r="I160" s="12"/>
    </row>
    <row r="161" spans="4:9" ht="12.75">
      <c r="D161" s="12"/>
      <c r="E161" s="12"/>
      <c r="F161" s="12"/>
      <c r="G161" s="12"/>
      <c r="H161" s="12"/>
      <c r="I161" s="12"/>
    </row>
    <row r="162" spans="4:9" ht="12.75">
      <c r="D162" s="12"/>
      <c r="E162" s="12"/>
      <c r="F162" s="12"/>
      <c r="G162" s="12"/>
      <c r="H162" s="12"/>
      <c r="I162" s="12"/>
    </row>
    <row r="163" spans="4:9" ht="12.75">
      <c r="D163" s="12"/>
      <c r="E163" s="12"/>
      <c r="F163" s="12"/>
      <c r="G163" s="12"/>
      <c r="H163" s="12"/>
      <c r="I163" s="12"/>
    </row>
    <row r="164" spans="4:9" ht="12.75">
      <c r="D164" s="12"/>
      <c r="E164" s="12"/>
      <c r="F164" s="12"/>
      <c r="G164" s="12"/>
      <c r="H164" s="12"/>
      <c r="I164" s="12"/>
    </row>
    <row r="165" spans="4:9" ht="12.75">
      <c r="D165" s="12"/>
      <c r="E165" s="12"/>
      <c r="F165" s="12"/>
      <c r="G165" s="12"/>
      <c r="H165" s="12"/>
      <c r="I165" s="12"/>
    </row>
    <row r="166" spans="4:9" ht="12.75">
      <c r="D166" s="12"/>
      <c r="E166" s="12"/>
      <c r="F166" s="12"/>
      <c r="G166" s="12"/>
      <c r="H166" s="12"/>
      <c r="I166" s="12"/>
    </row>
    <row r="167" spans="4:9" ht="12.75">
      <c r="D167" s="12"/>
      <c r="E167" s="12"/>
      <c r="F167" s="12"/>
      <c r="G167" s="12"/>
      <c r="H167" s="12"/>
      <c r="I167" s="12"/>
    </row>
    <row r="168" spans="4:9" ht="12.75">
      <c r="D168" s="12"/>
      <c r="E168" s="12"/>
      <c r="F168" s="12"/>
      <c r="G168" s="12"/>
      <c r="H168" s="12"/>
      <c r="I168" s="12"/>
    </row>
    <row r="169" spans="4:9" ht="12.75">
      <c r="D169" s="12"/>
      <c r="E169" s="12"/>
      <c r="F169" s="12"/>
      <c r="G169" s="12"/>
      <c r="H169" s="12"/>
      <c r="I169" s="12"/>
    </row>
    <row r="170" spans="4:9" ht="12.75">
      <c r="D170" s="12"/>
      <c r="E170" s="12"/>
      <c r="F170" s="12"/>
      <c r="G170" s="12"/>
      <c r="H170" s="12"/>
      <c r="I170" s="12"/>
    </row>
    <row r="171" spans="4:9" ht="12.75">
      <c r="D171" s="12"/>
      <c r="E171" s="12"/>
      <c r="F171" s="12"/>
      <c r="G171" s="12"/>
      <c r="H171" s="12"/>
      <c r="I171" s="12"/>
    </row>
    <row r="172" spans="4:9" ht="12.75">
      <c r="D172" s="12"/>
      <c r="E172" s="12"/>
      <c r="F172" s="12"/>
      <c r="G172" s="12"/>
      <c r="H172" s="12"/>
      <c r="I172" s="12"/>
    </row>
    <row r="173" spans="4:9" ht="12.75">
      <c r="D173" s="12"/>
      <c r="E173" s="12"/>
      <c r="F173" s="12"/>
      <c r="G173" s="12"/>
      <c r="H173" s="12"/>
      <c r="I173" s="12"/>
    </row>
    <row r="174" spans="4:9" ht="12.75">
      <c r="D174" s="12"/>
      <c r="E174" s="12"/>
      <c r="F174" s="12"/>
      <c r="G174" s="12"/>
      <c r="H174" s="12"/>
      <c r="I174" s="12"/>
    </row>
    <row r="175" spans="4:9" ht="12.75">
      <c r="D175" s="12"/>
      <c r="E175" s="12"/>
      <c r="F175" s="12"/>
      <c r="G175" s="12"/>
      <c r="H175" s="12"/>
      <c r="I175" s="12"/>
    </row>
    <row r="176" spans="4:9" ht="12.75">
      <c r="D176" s="12"/>
      <c r="E176" s="12"/>
      <c r="F176" s="12"/>
      <c r="G176" s="12"/>
      <c r="H176" s="12"/>
      <c r="I176" s="12"/>
    </row>
    <row r="177" spans="4:9" ht="12.75">
      <c r="D177" s="12"/>
      <c r="E177" s="12"/>
      <c r="F177" s="12"/>
      <c r="G177" s="12"/>
      <c r="H177" s="12"/>
      <c r="I177" s="12"/>
    </row>
    <row r="178" spans="4:9" ht="12.75">
      <c r="D178" s="12"/>
      <c r="E178" s="12"/>
      <c r="F178" s="12"/>
      <c r="G178" s="12"/>
      <c r="H178" s="12"/>
      <c r="I178" s="12"/>
    </row>
    <row r="179" spans="4:9" ht="12.75">
      <c r="D179" s="12"/>
      <c r="E179" s="12"/>
      <c r="F179" s="12"/>
      <c r="G179" s="12"/>
      <c r="H179" s="12"/>
      <c r="I179" s="12"/>
    </row>
    <row r="180" spans="4:9" ht="12.75">
      <c r="D180" s="12"/>
      <c r="E180" s="12"/>
      <c r="F180" s="12"/>
      <c r="G180" s="12"/>
      <c r="H180" s="12"/>
      <c r="I180" s="12"/>
    </row>
    <row r="181" spans="4:9" ht="12.75">
      <c r="D181" s="12"/>
      <c r="E181" s="12"/>
      <c r="F181" s="12"/>
      <c r="G181" s="12"/>
      <c r="H181" s="12"/>
      <c r="I181" s="12"/>
    </row>
    <row r="182" spans="4:9" ht="12.75">
      <c r="D182" s="12"/>
      <c r="E182" s="12"/>
      <c r="F182" s="12"/>
      <c r="G182" s="12"/>
      <c r="H182" s="12"/>
      <c r="I182" s="12"/>
    </row>
    <row r="183" spans="4:9" ht="12.75">
      <c r="D183" s="12"/>
      <c r="E183" s="12"/>
      <c r="F183" s="12"/>
      <c r="G183" s="12"/>
      <c r="H183" s="12"/>
      <c r="I183" s="12"/>
    </row>
    <row r="184" spans="4:9" ht="12.75">
      <c r="D184" s="12"/>
      <c r="E184" s="12"/>
      <c r="F184" s="12"/>
      <c r="G184" s="12"/>
      <c r="H184" s="12"/>
      <c r="I184" s="12"/>
    </row>
    <row r="185" spans="4:9" ht="12.75">
      <c r="D185" s="12"/>
      <c r="E185" s="12"/>
      <c r="F185" s="12"/>
      <c r="G185" s="12"/>
      <c r="H185" s="12"/>
      <c r="I185" s="12"/>
    </row>
    <row r="186" spans="4:9" ht="12.75">
      <c r="D186" s="12"/>
      <c r="E186" s="12"/>
      <c r="F186" s="12"/>
      <c r="G186" s="12"/>
      <c r="H186" s="12"/>
      <c r="I186" s="12"/>
    </row>
    <row r="187" spans="4:9" ht="12.75">
      <c r="D187" s="12"/>
      <c r="E187" s="12"/>
      <c r="F187" s="12"/>
      <c r="G187" s="12"/>
      <c r="H187" s="12"/>
      <c r="I187" s="12"/>
    </row>
    <row r="188" spans="4:9" ht="12.75">
      <c r="D188" s="12"/>
      <c r="E188" s="12"/>
      <c r="F188" s="12"/>
      <c r="G188" s="12"/>
      <c r="H188" s="12"/>
      <c r="I188" s="12"/>
    </row>
    <row r="189" spans="4:9" ht="12.75">
      <c r="D189" s="12"/>
      <c r="E189" s="12"/>
      <c r="F189" s="12"/>
      <c r="G189" s="12"/>
      <c r="H189" s="12"/>
      <c r="I189" s="12"/>
    </row>
    <row r="190" spans="4:9" ht="12.75">
      <c r="D190" s="12"/>
      <c r="E190" s="12"/>
      <c r="F190" s="12"/>
      <c r="G190" s="12"/>
      <c r="H190" s="12"/>
      <c r="I190" s="12"/>
    </row>
    <row r="191" spans="4:9" ht="12.75">
      <c r="D191" s="12"/>
      <c r="E191" s="12"/>
      <c r="F191" s="12"/>
      <c r="G191" s="12"/>
      <c r="H191" s="12"/>
      <c r="I191" s="12"/>
    </row>
    <row r="192" spans="4:9" ht="12.75">
      <c r="D192" s="12"/>
      <c r="E192" s="12"/>
      <c r="F192" s="12"/>
      <c r="G192" s="12"/>
      <c r="H192" s="12"/>
      <c r="I192" s="12"/>
    </row>
    <row r="193" spans="4:9" ht="12.75">
      <c r="D193" s="12"/>
      <c r="E193" s="12"/>
      <c r="F193" s="12"/>
      <c r="G193" s="12"/>
      <c r="H193" s="12"/>
      <c r="I193" s="12"/>
    </row>
    <row r="194" spans="4:9" ht="12.75">
      <c r="D194" s="12"/>
      <c r="E194" s="12"/>
      <c r="F194" s="12"/>
      <c r="G194" s="12"/>
      <c r="H194" s="12"/>
      <c r="I194" s="12"/>
    </row>
    <row r="195" spans="4:9" ht="12.75">
      <c r="D195" s="12"/>
      <c r="E195" s="12"/>
      <c r="F195" s="12"/>
      <c r="G195" s="12"/>
      <c r="H195" s="12"/>
      <c r="I195" s="12"/>
    </row>
    <row r="196" spans="4:9" ht="12.75">
      <c r="D196" s="12"/>
      <c r="E196" s="12"/>
      <c r="F196" s="12"/>
      <c r="G196" s="12"/>
      <c r="H196" s="12"/>
      <c r="I196" s="12"/>
    </row>
    <row r="197" spans="4:9" ht="12.75">
      <c r="D197" s="12"/>
      <c r="E197" s="12"/>
      <c r="F197" s="12"/>
      <c r="G197" s="12"/>
      <c r="H197" s="12"/>
      <c r="I197" s="12"/>
    </row>
    <row r="198" spans="4:9" ht="12.75">
      <c r="D198" s="12"/>
      <c r="E198" s="12"/>
      <c r="F198" s="12"/>
      <c r="G198" s="12"/>
      <c r="H198" s="12"/>
      <c r="I198" s="12"/>
    </row>
    <row r="199" spans="4:9" ht="12.75">
      <c r="D199" s="12"/>
      <c r="E199" s="12"/>
      <c r="F199" s="12"/>
      <c r="G199" s="12"/>
      <c r="H199" s="12"/>
      <c r="I199" s="12"/>
    </row>
    <row r="200" spans="4:9" ht="12.75">
      <c r="D200" s="12"/>
      <c r="E200" s="12"/>
      <c r="F200" s="12"/>
      <c r="G200" s="12"/>
      <c r="H200" s="12"/>
      <c r="I200" s="12"/>
    </row>
    <row r="201" spans="4:9" ht="12.75">
      <c r="D201" s="12"/>
      <c r="E201" s="12"/>
      <c r="F201" s="12"/>
      <c r="G201" s="12"/>
      <c r="H201" s="12"/>
      <c r="I201" s="12"/>
    </row>
    <row r="202" spans="4:9" ht="12.75">
      <c r="D202" s="12"/>
      <c r="E202" s="12"/>
      <c r="F202" s="12"/>
      <c r="G202" s="12"/>
      <c r="H202" s="12"/>
      <c r="I202" s="12"/>
    </row>
    <row r="203" spans="4:9" ht="12.75">
      <c r="D203" s="12"/>
      <c r="E203" s="12"/>
      <c r="F203" s="12"/>
      <c r="G203" s="12"/>
      <c r="H203" s="12"/>
      <c r="I203" s="12"/>
    </row>
    <row r="204" spans="4:9" ht="12.75">
      <c r="D204" s="12"/>
      <c r="E204" s="12"/>
      <c r="F204" s="12"/>
      <c r="G204" s="12"/>
      <c r="H204" s="12"/>
      <c r="I204" s="12"/>
    </row>
  </sheetData>
  <sheetProtection/>
  <printOptions gridLines="1"/>
  <pageMargins left="0.75" right="0.75" top="1" bottom="1" header="0.5" footer="0.5"/>
  <pageSetup fitToHeight="1" fitToWidth="1" horizontalDpi="300" verticalDpi="300" orientation="landscape" paperSize="9" scale="4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4"/>
  <sheetViews>
    <sheetView zoomScalePageLayoutView="0" workbookViewId="0" topLeftCell="A1">
      <pane xSplit="4395" ySplit="2265" topLeftCell="D35" activePane="bottomRight" state="split"/>
      <selection pane="topLeft" activeCell="E8" sqref="E8:F10"/>
      <selection pane="topRight" activeCell="E1" sqref="E1:E16384"/>
      <selection pane="bottomLeft" activeCell="E8" sqref="E8:F10"/>
      <selection pane="bottomRight" activeCell="F50" sqref="F50"/>
    </sheetView>
  </sheetViews>
  <sheetFormatPr defaultColWidth="9.140625" defaultRowHeight="12.75"/>
  <cols>
    <col min="2" max="2" width="9.28125" style="0" customWidth="1"/>
    <col min="3" max="3" width="9.00390625" style="0" customWidth="1"/>
    <col min="4" max="6" width="10.7109375" style="0" customWidth="1"/>
    <col min="7" max="7" width="9.8515625" style="0" customWidth="1"/>
    <col min="9" max="9" width="9.00390625" style="0" customWidth="1"/>
    <col min="10" max="10" width="7.28125" style="0" customWidth="1"/>
    <col min="11" max="11" width="8.421875" style="0" customWidth="1"/>
    <col min="12" max="12" width="7.00390625" style="0" customWidth="1"/>
    <col min="26" max="26" width="9.421875" style="0" customWidth="1"/>
  </cols>
  <sheetData>
    <row r="1" spans="2:22" ht="12.75">
      <c r="B1" s="6" t="s">
        <v>4</v>
      </c>
      <c r="V1" t="s">
        <v>127</v>
      </c>
    </row>
    <row r="2" spans="2:10" ht="12.75">
      <c r="B2" s="6" t="s">
        <v>128</v>
      </c>
      <c r="J2" t="s">
        <v>99</v>
      </c>
    </row>
    <row r="3" ht="12.75">
      <c r="B3" s="6"/>
    </row>
    <row r="4" spans="13:15" ht="12.75">
      <c r="M4" t="s">
        <v>12</v>
      </c>
      <c r="N4" t="s">
        <v>12</v>
      </c>
      <c r="O4" t="s">
        <v>12</v>
      </c>
    </row>
    <row r="5" spans="2:32" s="7" customFormat="1" ht="38.25">
      <c r="B5" s="7" t="s">
        <v>13</v>
      </c>
      <c r="C5" s="7" t="s">
        <v>14</v>
      </c>
      <c r="D5" s="7" t="s">
        <v>15</v>
      </c>
      <c r="E5" s="7" t="s">
        <v>162</v>
      </c>
      <c r="F5" s="7" t="s">
        <v>159</v>
      </c>
      <c r="J5" s="7" t="s">
        <v>16</v>
      </c>
      <c r="K5" s="7" t="s">
        <v>17</v>
      </c>
      <c r="L5" s="7" t="s">
        <v>18</v>
      </c>
      <c r="M5" t="s">
        <v>0</v>
      </c>
      <c r="N5" t="s">
        <v>19</v>
      </c>
      <c r="O5" t="s">
        <v>1</v>
      </c>
      <c r="P5" s="7" t="s">
        <v>21</v>
      </c>
      <c r="Q5" s="7" t="s">
        <v>22</v>
      </c>
      <c r="R5" s="15" t="s">
        <v>129</v>
      </c>
      <c r="S5" s="15" t="s">
        <v>130</v>
      </c>
      <c r="T5" s="7" t="s">
        <v>2</v>
      </c>
      <c r="U5" s="7" t="s">
        <v>23</v>
      </c>
      <c r="V5" s="7" t="s">
        <v>24</v>
      </c>
      <c r="W5" s="7" t="s">
        <v>3</v>
      </c>
      <c r="X5" s="7" t="s">
        <v>25</v>
      </c>
      <c r="Y5" s="7" t="s">
        <v>26</v>
      </c>
      <c r="Z5" s="7" t="s">
        <v>27</v>
      </c>
      <c r="AA5" s="7" t="s">
        <v>28</v>
      </c>
      <c r="AB5" s="7" t="s">
        <v>29</v>
      </c>
      <c r="AC5" s="7" t="s">
        <v>29</v>
      </c>
      <c r="AD5" s="7" t="s">
        <v>29</v>
      </c>
      <c r="AE5" s="8" t="s">
        <v>30</v>
      </c>
      <c r="AF5" s="8" t="s">
        <v>31</v>
      </c>
    </row>
    <row r="6" spans="12:32" s="7" customFormat="1" ht="12.75">
      <c r="L6" s="7" t="s">
        <v>32</v>
      </c>
      <c r="M6" s="7" t="s">
        <v>32</v>
      </c>
      <c r="N6" s="7" t="s">
        <v>32</v>
      </c>
      <c r="O6" t="s">
        <v>131</v>
      </c>
      <c r="P6" s="7" t="s">
        <v>32</v>
      </c>
      <c r="U6" s="7" t="s">
        <v>32</v>
      </c>
      <c r="V6" s="7" t="s">
        <v>32</v>
      </c>
      <c r="W6" s="7" t="s">
        <v>32</v>
      </c>
      <c r="Z6" s="7" t="s">
        <v>34</v>
      </c>
      <c r="AB6" s="7" t="s">
        <v>35</v>
      </c>
      <c r="AC6" s="7" t="s">
        <v>36</v>
      </c>
      <c r="AD6" s="7" t="s">
        <v>37</v>
      </c>
      <c r="AE6" s="8" t="s">
        <v>38</v>
      </c>
      <c r="AF6" s="8" t="s">
        <v>38</v>
      </c>
    </row>
    <row r="7" spans="31:32" ht="12.75">
      <c r="AE7" s="9"/>
      <c r="AF7" s="9"/>
    </row>
    <row r="8" spans="1:32" ht="12.75">
      <c r="A8">
        <v>22</v>
      </c>
      <c r="B8" t="s">
        <v>41</v>
      </c>
      <c r="D8" s="10"/>
      <c r="E8" s="10"/>
      <c r="F8" s="10"/>
      <c r="G8" s="10"/>
      <c r="H8" s="10"/>
      <c r="I8" s="10"/>
      <c r="AE8" s="9" t="e">
        <f>Q8/W8</f>
        <v>#DIV/0!</v>
      </c>
      <c r="AF8" s="9" t="e">
        <f>Y8/W8</f>
        <v>#DIV/0!</v>
      </c>
    </row>
    <row r="9" spans="1:9" ht="12.75">
      <c r="A9">
        <v>78</v>
      </c>
      <c r="B9" t="s">
        <v>42</v>
      </c>
      <c r="C9" s="7"/>
      <c r="D9" s="10"/>
      <c r="E9" s="10"/>
      <c r="F9" s="10"/>
      <c r="G9" s="10"/>
      <c r="H9" s="10"/>
      <c r="I9" s="10"/>
    </row>
    <row r="10" spans="1:9" ht="12.75">
      <c r="A10">
        <v>124</v>
      </c>
      <c r="B10" t="s">
        <v>43</v>
      </c>
      <c r="D10" s="10"/>
      <c r="E10" s="10"/>
      <c r="F10" s="10"/>
      <c r="G10" s="10"/>
      <c r="H10" s="10"/>
      <c r="I10" s="10"/>
    </row>
    <row r="11" spans="1:9" ht="12.75">
      <c r="A11">
        <v>159</v>
      </c>
      <c r="B11" t="s">
        <v>44</v>
      </c>
      <c r="C11" s="7"/>
      <c r="D11" s="10"/>
      <c r="E11" s="10"/>
      <c r="F11" s="10"/>
      <c r="G11" s="10"/>
      <c r="H11" s="10"/>
      <c r="I11" s="10"/>
    </row>
    <row r="12" spans="1:9" ht="12.75">
      <c r="A12">
        <v>212</v>
      </c>
      <c r="B12" t="s">
        <v>46</v>
      </c>
      <c r="C12" s="7"/>
      <c r="D12" s="10"/>
      <c r="E12" s="10"/>
      <c r="F12" s="10"/>
      <c r="G12" s="10"/>
      <c r="H12" s="10"/>
      <c r="I12" s="10"/>
    </row>
    <row r="13" spans="1:9" ht="12.75">
      <c r="A13">
        <v>221</v>
      </c>
      <c r="B13" t="s">
        <v>47</v>
      </c>
      <c r="C13" s="7"/>
      <c r="D13" s="10"/>
      <c r="E13" s="10"/>
      <c r="F13" s="10"/>
      <c r="G13" s="10"/>
      <c r="H13" s="10"/>
      <c r="I13" s="10"/>
    </row>
    <row r="14" spans="1:9" ht="12.75">
      <c r="A14">
        <v>257</v>
      </c>
      <c r="B14" t="s">
        <v>48</v>
      </c>
      <c r="C14" s="7"/>
      <c r="D14" s="10"/>
      <c r="E14" s="10"/>
      <c r="F14" s="10"/>
      <c r="G14" s="10"/>
      <c r="H14" s="10"/>
      <c r="I14" s="10"/>
    </row>
    <row r="15" spans="1:9" ht="12.75">
      <c r="A15">
        <v>286</v>
      </c>
      <c r="B15" t="s">
        <v>49</v>
      </c>
      <c r="C15" s="7"/>
      <c r="D15" s="10"/>
      <c r="E15" s="10"/>
      <c r="F15" s="10"/>
      <c r="G15" s="10"/>
      <c r="H15" s="10"/>
      <c r="I15" s="10"/>
    </row>
    <row r="16" spans="1:9" ht="12.75">
      <c r="A16">
        <v>306</v>
      </c>
      <c r="B16" t="s">
        <v>50</v>
      </c>
      <c r="C16" s="7"/>
      <c r="D16" s="10"/>
      <c r="E16" s="10"/>
      <c r="F16" s="10"/>
      <c r="G16" s="10"/>
      <c r="H16" s="10"/>
      <c r="I16" s="10"/>
    </row>
    <row r="17" spans="1:9" ht="12.75">
      <c r="A17">
        <v>326</v>
      </c>
      <c r="B17" t="s">
        <v>51</v>
      </c>
      <c r="C17" s="7"/>
      <c r="D17" s="10"/>
      <c r="E17" s="10"/>
      <c r="F17" s="10"/>
      <c r="G17" s="10"/>
      <c r="H17" s="10"/>
      <c r="I17" s="10"/>
    </row>
    <row r="18" spans="1:9" ht="12.75">
      <c r="A18">
        <v>336</v>
      </c>
      <c r="B18" t="s">
        <v>105</v>
      </c>
      <c r="D18" s="10"/>
      <c r="E18" s="10"/>
      <c r="F18" s="10"/>
      <c r="G18" s="10"/>
      <c r="H18" s="10"/>
      <c r="I18" s="10"/>
    </row>
    <row r="19" spans="1:9" ht="12.75">
      <c r="A19">
        <v>347</v>
      </c>
      <c r="B19" t="s">
        <v>53</v>
      </c>
      <c r="D19" s="10"/>
      <c r="E19" s="10"/>
      <c r="F19" s="10"/>
      <c r="G19" s="10"/>
      <c r="H19" s="10"/>
      <c r="I19" s="10"/>
    </row>
    <row r="20" spans="1:9" ht="12.75">
      <c r="A20">
        <v>357</v>
      </c>
      <c r="B20" t="s">
        <v>54</v>
      </c>
      <c r="D20" s="10"/>
      <c r="E20" s="10"/>
      <c r="F20" s="10"/>
      <c r="G20" s="10"/>
      <c r="H20" s="10"/>
      <c r="I20" s="10"/>
    </row>
    <row r="21" spans="1:20" ht="12.75">
      <c r="A21">
        <f>365+3</f>
        <v>368</v>
      </c>
      <c r="B21" t="s">
        <v>132</v>
      </c>
      <c r="C21">
        <v>36</v>
      </c>
      <c r="D21" s="10">
        <f aca="true" t="shared" si="0" ref="D21:D47">1/C21</f>
        <v>0.027777777777777776</v>
      </c>
      <c r="E21" s="10">
        <f>1000*D21</f>
        <v>27.777777777777775</v>
      </c>
      <c r="F21" s="10">
        <f>D21*1000*0.15</f>
        <v>4.166666666666666</v>
      </c>
      <c r="G21" s="10">
        <v>324</v>
      </c>
      <c r="H21" s="10">
        <v>414.5</v>
      </c>
      <c r="I21" s="10">
        <v>33.4</v>
      </c>
      <c r="J21">
        <v>7.87</v>
      </c>
      <c r="K21">
        <v>437</v>
      </c>
      <c r="M21">
        <f>83.4/40</f>
        <v>2.085</v>
      </c>
      <c r="N21">
        <f>3.4/24.3</f>
        <v>0.13991769547325103</v>
      </c>
      <c r="O21">
        <v>465</v>
      </c>
      <c r="P21">
        <f>O21/88/1000</f>
        <v>0.005284090909090909</v>
      </c>
      <c r="Q21">
        <f>N21/M21</f>
        <v>0.06710680838045613</v>
      </c>
      <c r="R21">
        <f>24.3/40*1000*Q21</f>
        <v>40.7673860911271</v>
      </c>
      <c r="S21">
        <f aca="true" t="shared" si="1" ref="S21:S48">D21*60</f>
        <v>1.6666666666666665</v>
      </c>
      <c r="T21">
        <f>O21/87.6/M21</f>
        <v>2.545908478696495</v>
      </c>
    </row>
    <row r="22" spans="1:24" ht="12.75">
      <c r="A22">
        <f>375</f>
        <v>375</v>
      </c>
      <c r="B22" t="s">
        <v>56</v>
      </c>
      <c r="C22">
        <v>42</v>
      </c>
      <c r="D22" s="10">
        <f t="shared" si="0"/>
        <v>0.023809523809523808</v>
      </c>
      <c r="E22" s="10">
        <f aca="true" t="shared" si="2" ref="E22:E50">1000*D22</f>
        <v>23.809523809523807</v>
      </c>
      <c r="F22" s="10">
        <f aca="true" t="shared" si="3" ref="F22:F50">D22*1000*0.15</f>
        <v>3.5714285714285707</v>
      </c>
      <c r="G22" s="10">
        <v>324</v>
      </c>
      <c r="H22" s="10">
        <v>408.5</v>
      </c>
      <c r="I22" s="10">
        <v>15.7</v>
      </c>
      <c r="J22">
        <v>7.83</v>
      </c>
      <c r="K22">
        <v>345</v>
      </c>
      <c r="M22">
        <f>5.6*10/40</f>
        <v>1.4</v>
      </c>
      <c r="N22">
        <f>4.7/24.3</f>
        <v>0.1934156378600823</v>
      </c>
      <c r="O22">
        <v>446</v>
      </c>
      <c r="P22">
        <f>O22/88/1000</f>
        <v>0.005068181818181818</v>
      </c>
      <c r="Q22">
        <f>N22/M22</f>
        <v>0.13815402704291593</v>
      </c>
      <c r="R22">
        <f>24.3/40*1000*Q22</f>
        <v>83.92857142857143</v>
      </c>
      <c r="S22">
        <f t="shared" si="1"/>
        <v>1.4285714285714284</v>
      </c>
      <c r="T22">
        <f>O22/87.6/M22</f>
        <v>3.6366601435094594</v>
      </c>
      <c r="U22">
        <f>3.2/23</f>
        <v>0.1391304347826087</v>
      </c>
      <c r="V22">
        <f>0.1/39</f>
        <v>0.002564102564102564</v>
      </c>
      <c r="W22">
        <f>13.6/35.5</f>
        <v>0.38309859154929576</v>
      </c>
      <c r="X22">
        <f>2.1*2.8737/96</f>
        <v>0.0628621875</v>
      </c>
    </row>
    <row r="23" spans="1:24" ht="12.75">
      <c r="A23">
        <f>365+24</f>
        <v>389</v>
      </c>
      <c r="B23" t="s">
        <v>133</v>
      </c>
      <c r="C23">
        <v>48.37</v>
      </c>
      <c r="D23" s="10">
        <f t="shared" si="0"/>
        <v>0.020673971469919374</v>
      </c>
      <c r="E23" s="10">
        <f t="shared" si="2"/>
        <v>20.673971469919373</v>
      </c>
      <c r="F23" s="10">
        <f t="shared" si="3"/>
        <v>3.1010957204879057</v>
      </c>
      <c r="G23" s="10">
        <v>328</v>
      </c>
      <c r="H23" s="10">
        <v>397</v>
      </c>
      <c r="I23" s="10">
        <v>17.7</v>
      </c>
      <c r="J23">
        <v>8.2</v>
      </c>
      <c r="K23">
        <v>275</v>
      </c>
      <c r="M23">
        <f>62/40</f>
        <v>1.55</v>
      </c>
      <c r="N23">
        <f>5/24.3</f>
        <v>0.205761316872428</v>
      </c>
      <c r="O23">
        <v>498</v>
      </c>
      <c r="P23">
        <f>O23/88/1000</f>
        <v>0.005659090909090909</v>
      </c>
      <c r="Q23">
        <f>N23/M23</f>
        <v>0.132749236691889</v>
      </c>
      <c r="R23">
        <f>24.3/40*1000*Q23</f>
        <v>80.64516129032258</v>
      </c>
      <c r="S23">
        <f t="shared" si="1"/>
        <v>1.2404382881951623</v>
      </c>
      <c r="T23">
        <f>O23/87.6/M23</f>
        <v>3.667697746354397</v>
      </c>
      <c r="U23">
        <v>0.14783</v>
      </c>
      <c r="V23">
        <v>0.00256</v>
      </c>
      <c r="W23">
        <v>0.47042</v>
      </c>
      <c r="X23">
        <v>0.1437</v>
      </c>
    </row>
    <row r="24" spans="1:19" ht="12.75">
      <c r="A24">
        <f>365+34</f>
        <v>399</v>
      </c>
      <c r="B24" t="s">
        <v>60</v>
      </c>
      <c r="C24">
        <v>46.1</v>
      </c>
      <c r="D24" s="10">
        <f t="shared" si="0"/>
        <v>0.021691973969631236</v>
      </c>
      <c r="E24" s="10">
        <f t="shared" si="2"/>
        <v>21.691973969631235</v>
      </c>
      <c r="F24" s="10">
        <f t="shared" si="3"/>
        <v>3.253796095444685</v>
      </c>
      <c r="G24" s="10"/>
      <c r="H24" s="10"/>
      <c r="I24" s="10"/>
      <c r="S24">
        <f t="shared" si="1"/>
        <v>1.3015184381778742</v>
      </c>
    </row>
    <row r="25" spans="1:24" ht="12.75">
      <c r="A25">
        <v>400</v>
      </c>
      <c r="B25" t="s">
        <v>61</v>
      </c>
      <c r="C25">
        <v>43.87</v>
      </c>
      <c r="D25" s="10">
        <f t="shared" si="0"/>
        <v>0.022794620469569184</v>
      </c>
      <c r="E25" s="10">
        <f t="shared" si="2"/>
        <v>22.794620469569185</v>
      </c>
      <c r="F25" s="10">
        <f t="shared" si="3"/>
        <v>3.419193070435378</v>
      </c>
      <c r="G25" s="10">
        <v>328</v>
      </c>
      <c r="H25" s="10">
        <v>408</v>
      </c>
      <c r="I25" s="10">
        <v>16.6</v>
      </c>
      <c r="J25">
        <v>7.99</v>
      </c>
      <c r="K25">
        <v>344</v>
      </c>
      <c r="L25">
        <v>1.8</v>
      </c>
      <c r="M25">
        <f>52/40</f>
        <v>1.3</v>
      </c>
      <c r="N25">
        <f>4.6/24.3</f>
        <v>0.18930041152263372</v>
      </c>
      <c r="O25">
        <v>445</v>
      </c>
      <c r="P25">
        <f>O25/88/1000</f>
        <v>0.005056818181818181</v>
      </c>
      <c r="Q25">
        <f aca="true" t="shared" si="4" ref="Q25:Q33">N25/M25</f>
        <v>0.1456157011712567</v>
      </c>
      <c r="R25">
        <f aca="true" t="shared" si="5" ref="R25:R33">24.3/40*1000*Q25</f>
        <v>88.46153846153844</v>
      </c>
      <c r="S25">
        <f t="shared" si="1"/>
        <v>1.367677228174151</v>
      </c>
      <c r="T25">
        <f>O25/87.6/M25</f>
        <v>3.9076220583069903</v>
      </c>
      <c r="U25">
        <v>0.1609</v>
      </c>
      <c r="V25">
        <v>0.00256</v>
      </c>
      <c r="W25">
        <v>1.0281</v>
      </c>
      <c r="X25">
        <v>0.10776</v>
      </c>
    </row>
    <row r="26" spans="1:24" ht="12.75">
      <c r="A26">
        <f>365+46</f>
        <v>411</v>
      </c>
      <c r="B26" t="s">
        <v>62</v>
      </c>
      <c r="C26">
        <v>31.5</v>
      </c>
      <c r="D26" s="10">
        <f t="shared" si="0"/>
        <v>0.031746031746031744</v>
      </c>
      <c r="E26" s="10">
        <f t="shared" si="2"/>
        <v>31.746031746031743</v>
      </c>
      <c r="F26" s="10">
        <f t="shared" si="3"/>
        <v>4.761904761904761</v>
      </c>
      <c r="G26" s="10">
        <v>330</v>
      </c>
      <c r="H26" s="10">
        <v>411.5</v>
      </c>
      <c r="I26" s="10">
        <v>15.1</v>
      </c>
      <c r="J26">
        <v>8.33</v>
      </c>
      <c r="M26">
        <f>54/40</f>
        <v>1.35</v>
      </c>
      <c r="N26">
        <f>4.3/24.3</f>
        <v>0.17695473251028807</v>
      </c>
      <c r="O26">
        <v>430</v>
      </c>
      <c r="P26">
        <f>O26/88/1000</f>
        <v>0.004886363636363637</v>
      </c>
      <c r="Q26">
        <f t="shared" si="4"/>
        <v>0.13107757963725042</v>
      </c>
      <c r="R26">
        <f t="shared" si="5"/>
        <v>79.62962962962963</v>
      </c>
      <c r="S26">
        <f t="shared" si="1"/>
        <v>1.9047619047619047</v>
      </c>
      <c r="T26">
        <f>O26/87.6/M26</f>
        <v>3.6360561474716726</v>
      </c>
      <c r="U26">
        <f>3/23</f>
        <v>0.13043478260869565</v>
      </c>
      <c r="V26">
        <f>0.2/39</f>
        <v>0.005128205128205128</v>
      </c>
      <c r="W26">
        <f>27.1/35.5</f>
        <v>0.7633802816901409</v>
      </c>
      <c r="X26">
        <f>3.8*2.8737/96</f>
        <v>0.113750625</v>
      </c>
    </row>
    <row r="27" spans="1:24" ht="12.75">
      <c r="A27">
        <f>365+56</f>
        <v>421</v>
      </c>
      <c r="B27" t="s">
        <v>63</v>
      </c>
      <c r="C27">
        <v>26.73</v>
      </c>
      <c r="D27" s="10">
        <f t="shared" si="0"/>
        <v>0.03741114852225963</v>
      </c>
      <c r="E27" s="10">
        <f t="shared" si="2"/>
        <v>37.41114852225963</v>
      </c>
      <c r="F27" s="10">
        <f t="shared" si="3"/>
        <v>5.611672278338944</v>
      </c>
      <c r="G27" s="10"/>
      <c r="H27" s="10"/>
      <c r="I27" s="10"/>
      <c r="J27">
        <v>8.4</v>
      </c>
      <c r="M27">
        <f>6.1*10/40</f>
        <v>1.525</v>
      </c>
      <c r="N27">
        <f>3.7/24.3</f>
        <v>0.1522633744855967</v>
      </c>
      <c r="Q27">
        <f t="shared" si="4"/>
        <v>0.09984483572826014</v>
      </c>
      <c r="R27">
        <f t="shared" si="5"/>
        <v>60.65573770491803</v>
      </c>
      <c r="S27">
        <f t="shared" si="1"/>
        <v>2.2446689113355776</v>
      </c>
      <c r="U27">
        <f>3/23</f>
        <v>0.13043478260869565</v>
      </c>
      <c r="V27">
        <f>0.2/39</f>
        <v>0.005128205128205128</v>
      </c>
      <c r="W27">
        <f>20.2/35.5</f>
        <v>0.5690140845070423</v>
      </c>
      <c r="X27">
        <f>3.3*2.8737/96</f>
        <v>0.0987834375</v>
      </c>
    </row>
    <row r="28" spans="1:24" ht="12.75">
      <c r="A28">
        <f>365+68</f>
        <v>433</v>
      </c>
      <c r="B28" t="s">
        <v>64</v>
      </c>
      <c r="C28">
        <v>32.21</v>
      </c>
      <c r="D28" s="10">
        <f t="shared" si="0"/>
        <v>0.03104625892579944</v>
      </c>
      <c r="E28" s="10">
        <f t="shared" si="2"/>
        <v>31.046258925799442</v>
      </c>
      <c r="F28" s="10">
        <f t="shared" si="3"/>
        <v>4.656938838869916</v>
      </c>
      <c r="G28" s="10">
        <v>340</v>
      </c>
      <c r="H28" s="10">
        <v>410</v>
      </c>
      <c r="I28" s="10">
        <v>24.3</v>
      </c>
      <c r="J28">
        <v>8.29</v>
      </c>
      <c r="K28">
        <v>345</v>
      </c>
      <c r="M28">
        <v>1.5</v>
      </c>
      <c r="N28">
        <f>3.4/24.3</f>
        <v>0.13991769547325103</v>
      </c>
      <c r="O28">
        <v>393</v>
      </c>
      <c r="P28">
        <f>O28/88/1000</f>
        <v>0.004465909090909091</v>
      </c>
      <c r="Q28">
        <f t="shared" si="4"/>
        <v>0.09327846364883402</v>
      </c>
      <c r="R28">
        <f t="shared" si="5"/>
        <v>56.666666666666664</v>
      </c>
      <c r="S28">
        <f t="shared" si="1"/>
        <v>1.8627755355479665</v>
      </c>
      <c r="T28">
        <f>O28/87.6/M28</f>
        <v>2.990867579908676</v>
      </c>
      <c r="U28">
        <f>3.1/23</f>
        <v>0.13478260869565217</v>
      </c>
      <c r="V28">
        <f>0.1/39</f>
        <v>0.002564102564102564</v>
      </c>
      <c r="W28">
        <f>17.7/35.5</f>
        <v>0.49859154929577465</v>
      </c>
      <c r="X28">
        <f>3.6*2.8737/96</f>
        <v>0.10776374999999999</v>
      </c>
    </row>
    <row r="29" spans="1:24" ht="12.75">
      <c r="A29">
        <f>365+78</f>
        <v>443</v>
      </c>
      <c r="B29" t="s">
        <v>65</v>
      </c>
      <c r="C29">
        <v>35.71</v>
      </c>
      <c r="D29" s="10">
        <f t="shared" si="0"/>
        <v>0.028003360403248388</v>
      </c>
      <c r="E29" s="10">
        <f t="shared" si="2"/>
        <v>28.003360403248386</v>
      </c>
      <c r="F29" s="10">
        <f t="shared" si="3"/>
        <v>4.200504060487257</v>
      </c>
      <c r="G29" s="10">
        <v>324</v>
      </c>
      <c r="H29" s="10">
        <v>415.5</v>
      </c>
      <c r="I29" s="10">
        <v>32.6</v>
      </c>
      <c r="J29" s="7" t="s">
        <v>134</v>
      </c>
      <c r="K29">
        <v>383</v>
      </c>
      <c r="M29">
        <f>57/40</f>
        <v>1.425</v>
      </c>
      <c r="N29">
        <f>6.5/24.3</f>
        <v>0.2674897119341564</v>
      </c>
      <c r="O29">
        <v>435</v>
      </c>
      <c r="P29">
        <f>O29/88/1000</f>
        <v>0.004943181818181818</v>
      </c>
      <c r="Q29">
        <f t="shared" si="4"/>
        <v>0.18771207855028518</v>
      </c>
      <c r="R29">
        <f t="shared" si="5"/>
        <v>114.03508771929825</v>
      </c>
      <c r="S29">
        <f t="shared" si="1"/>
        <v>1.6802016241949032</v>
      </c>
      <c r="T29">
        <f>O29/87.6/M29</f>
        <v>3.4847392453737083</v>
      </c>
      <c r="U29">
        <f>3/23</f>
        <v>0.13043478260869565</v>
      </c>
      <c r="V29">
        <v>0</v>
      </c>
      <c r="W29">
        <f>18.9/35.5</f>
        <v>0.532394366197183</v>
      </c>
      <c r="X29">
        <f>3.6*2.8737/96</f>
        <v>0.10776374999999999</v>
      </c>
    </row>
    <row r="30" spans="1:24" ht="12.75">
      <c r="A30">
        <f>365+87</f>
        <v>452</v>
      </c>
      <c r="B30" t="s">
        <v>67</v>
      </c>
      <c r="C30">
        <v>45.53</v>
      </c>
      <c r="D30" s="10">
        <f t="shared" si="0"/>
        <v>0.021963540522732264</v>
      </c>
      <c r="E30" s="10">
        <f t="shared" si="2"/>
        <v>21.963540522732263</v>
      </c>
      <c r="F30" s="10">
        <f t="shared" si="3"/>
        <v>3.294531078409839</v>
      </c>
      <c r="G30" s="10">
        <v>328</v>
      </c>
      <c r="H30" s="10">
        <v>410</v>
      </c>
      <c r="I30" s="10">
        <v>21.9</v>
      </c>
      <c r="J30">
        <v>8.13</v>
      </c>
      <c r="K30">
        <v>373</v>
      </c>
      <c r="M30">
        <f>54/40</f>
        <v>1.35</v>
      </c>
      <c r="N30">
        <f>4.2/24.3</f>
        <v>0.1728395061728395</v>
      </c>
      <c r="O30">
        <v>457</v>
      </c>
      <c r="P30">
        <f>O30/88/1000</f>
        <v>0.005193181818181818</v>
      </c>
      <c r="Q30">
        <f t="shared" si="4"/>
        <v>0.12802926383173296</v>
      </c>
      <c r="R30">
        <f t="shared" si="5"/>
        <v>77.77777777777777</v>
      </c>
      <c r="S30">
        <f t="shared" si="1"/>
        <v>1.3178124313639359</v>
      </c>
      <c r="T30">
        <f>O30/87.6/M30</f>
        <v>3.8643666497547775</v>
      </c>
      <c r="U30">
        <v>0.18</v>
      </c>
      <c r="V30">
        <f>0.1/39</f>
        <v>0.002564102564102564</v>
      </c>
      <c r="W30">
        <v>0.52</v>
      </c>
      <c r="X30">
        <v>0.1</v>
      </c>
    </row>
    <row r="31" spans="1:24" ht="12.75">
      <c r="A31">
        <f>365+106</f>
        <v>471</v>
      </c>
      <c r="B31" t="s">
        <v>68</v>
      </c>
      <c r="C31">
        <v>60.72</v>
      </c>
      <c r="D31" s="10">
        <f t="shared" si="0"/>
        <v>0.016469038208168644</v>
      </c>
      <c r="E31" s="10">
        <f t="shared" si="2"/>
        <v>16.469038208168644</v>
      </c>
      <c r="F31" s="10">
        <f t="shared" si="3"/>
        <v>2.4703557312252964</v>
      </c>
      <c r="G31" s="10"/>
      <c r="H31" s="10"/>
      <c r="I31" s="10"/>
      <c r="J31">
        <v>7.86</v>
      </c>
      <c r="M31">
        <f>6.4/4</f>
        <v>1.6</v>
      </c>
      <c r="N31">
        <f>4.7/24.3</f>
        <v>0.1934156378600823</v>
      </c>
      <c r="Q31">
        <f t="shared" si="4"/>
        <v>0.12088477366255145</v>
      </c>
      <c r="R31">
        <f t="shared" si="5"/>
        <v>73.4375</v>
      </c>
      <c r="S31">
        <f t="shared" si="1"/>
        <v>0.9881422924901186</v>
      </c>
      <c r="U31">
        <f>3.7/23</f>
        <v>0.16086956521739132</v>
      </c>
      <c r="V31">
        <f>0.1/39</f>
        <v>0.002564102564102564</v>
      </c>
      <c r="W31">
        <f>16.7/35.5</f>
        <v>0.4704225352112676</v>
      </c>
      <c r="X31">
        <f>3.4*2.8737/96</f>
        <v>0.10177687499999999</v>
      </c>
    </row>
    <row r="32" spans="1:20" ht="12.75">
      <c r="A32">
        <f>365+127</f>
        <v>492</v>
      </c>
      <c r="B32" t="s">
        <v>69</v>
      </c>
      <c r="C32">
        <v>84.43</v>
      </c>
      <c r="D32" s="10">
        <f t="shared" si="0"/>
        <v>0.011844131232974061</v>
      </c>
      <c r="E32" s="10">
        <f t="shared" si="2"/>
        <v>11.84413123297406</v>
      </c>
      <c r="F32" s="10">
        <f t="shared" si="3"/>
        <v>1.7766196849461091</v>
      </c>
      <c r="G32" s="10">
        <v>324</v>
      </c>
      <c r="H32" s="10">
        <v>415</v>
      </c>
      <c r="I32" s="10">
        <v>65.7</v>
      </c>
      <c r="J32" s="7" t="s">
        <v>135</v>
      </c>
      <c r="K32">
        <v>348</v>
      </c>
      <c r="M32">
        <f>49/40</f>
        <v>1.225</v>
      </c>
      <c r="N32">
        <f>4.6/24.3</f>
        <v>0.18930041152263372</v>
      </c>
      <c r="O32">
        <v>536</v>
      </c>
      <c r="P32">
        <f>O32/88/1000</f>
        <v>0.00609090909090909</v>
      </c>
      <c r="Q32">
        <f t="shared" si="4"/>
        <v>0.1545309481817418</v>
      </c>
      <c r="R32">
        <f t="shared" si="5"/>
        <v>93.87755102040813</v>
      </c>
      <c r="S32">
        <f t="shared" si="1"/>
        <v>0.7106478739784436</v>
      </c>
      <c r="T32">
        <f>O32/87.6/M32</f>
        <v>4.994874662193645</v>
      </c>
    </row>
    <row r="33" spans="1:20" ht="12.75">
      <c r="A33">
        <f>365+147</f>
        <v>512</v>
      </c>
      <c r="B33" t="s">
        <v>70</v>
      </c>
      <c r="C33">
        <v>193</v>
      </c>
      <c r="D33" s="10">
        <f t="shared" si="0"/>
        <v>0.0051813471502590676</v>
      </c>
      <c r="E33" s="10">
        <f t="shared" si="2"/>
        <v>5.181347150259067</v>
      </c>
      <c r="F33" s="10">
        <f t="shared" si="3"/>
        <v>0.7772020725388601</v>
      </c>
      <c r="G33" s="10">
        <v>328</v>
      </c>
      <c r="H33" s="10">
        <v>410.5</v>
      </c>
      <c r="I33" s="10">
        <v>28.8</v>
      </c>
      <c r="J33">
        <v>7.9</v>
      </c>
      <c r="M33">
        <f>51/40</f>
        <v>1.275</v>
      </c>
      <c r="N33">
        <f>4.2/24.3</f>
        <v>0.1728395061728395</v>
      </c>
      <c r="O33">
        <v>378</v>
      </c>
      <c r="P33">
        <f>O33/88/1000</f>
        <v>0.004295454545454546</v>
      </c>
      <c r="Q33">
        <f t="shared" si="4"/>
        <v>0.1355603969983055</v>
      </c>
      <c r="R33">
        <f t="shared" si="5"/>
        <v>82.3529411764706</v>
      </c>
      <c r="S33">
        <f t="shared" si="1"/>
        <v>0.31088082901554404</v>
      </c>
      <c r="T33">
        <f>O33/87.6/M33</f>
        <v>3.3843674456083805</v>
      </c>
    </row>
    <row r="34" spans="1:19" ht="12.75">
      <c r="A34">
        <f>365+167</f>
        <v>532</v>
      </c>
      <c r="B34" t="s">
        <v>71</v>
      </c>
      <c r="C34">
        <f>(19*60)+5</f>
        <v>1145</v>
      </c>
      <c r="D34" s="10">
        <f t="shared" si="0"/>
        <v>0.0008733624454148472</v>
      </c>
      <c r="E34" s="10">
        <f t="shared" si="2"/>
        <v>0.8733624454148472</v>
      </c>
      <c r="F34" s="10">
        <f t="shared" si="3"/>
        <v>0.13100436681222707</v>
      </c>
      <c r="G34" s="10">
        <v>326</v>
      </c>
      <c r="H34" s="10">
        <v>405</v>
      </c>
      <c r="I34" s="10">
        <v>14.3</v>
      </c>
      <c r="J34">
        <v>8</v>
      </c>
      <c r="S34">
        <f t="shared" si="1"/>
        <v>0.052401746724890834</v>
      </c>
    </row>
    <row r="35" spans="1:19" ht="12.75">
      <c r="A35">
        <f>365+190</f>
        <v>555</v>
      </c>
      <c r="B35" t="s">
        <v>72</v>
      </c>
      <c r="C35">
        <f>(30*60)+23.12</f>
        <v>1823.12</v>
      </c>
      <c r="D35" s="10">
        <f t="shared" si="0"/>
        <v>0.0005485102461713985</v>
      </c>
      <c r="E35" s="10">
        <f t="shared" si="2"/>
        <v>0.5485102461713984</v>
      </c>
      <c r="F35" s="10">
        <f t="shared" si="3"/>
        <v>0.08227653692570976</v>
      </c>
      <c r="G35" s="10"/>
      <c r="H35" s="10"/>
      <c r="I35" s="10"/>
      <c r="S35">
        <f t="shared" si="1"/>
        <v>0.03291061477028391</v>
      </c>
    </row>
    <row r="36" spans="1:24" ht="12.75">
      <c r="A36">
        <f>365+207</f>
        <v>572</v>
      </c>
      <c r="B36" t="s">
        <v>117</v>
      </c>
      <c r="C36">
        <f>(33*60)+53</f>
        <v>2033</v>
      </c>
      <c r="D36" s="10">
        <f t="shared" si="0"/>
        <v>0.0004918839153959665</v>
      </c>
      <c r="E36" s="10">
        <f t="shared" si="2"/>
        <v>0.49188391539596654</v>
      </c>
      <c r="F36" s="10">
        <f t="shared" si="3"/>
        <v>0.07378258730939498</v>
      </c>
      <c r="G36" s="10">
        <v>320</v>
      </c>
      <c r="H36" s="10">
        <v>403.5</v>
      </c>
      <c r="I36" s="10">
        <v>21</v>
      </c>
      <c r="J36">
        <v>8</v>
      </c>
      <c r="M36">
        <f>38/40</f>
        <v>0.95</v>
      </c>
      <c r="N36">
        <f>4.7/24.3</f>
        <v>0.1934156378600823</v>
      </c>
      <c r="O36">
        <v>370</v>
      </c>
      <c r="P36">
        <f>O36/88/1000</f>
        <v>0.004204545454545454</v>
      </c>
      <c r="Q36">
        <f>N36/M36</f>
        <v>0.20359540827377087</v>
      </c>
      <c r="R36">
        <f>24.3/40*1000*Q36</f>
        <v>123.68421052631581</v>
      </c>
      <c r="S36">
        <f t="shared" si="1"/>
        <v>0.02951303492375799</v>
      </c>
      <c r="T36">
        <f>O36/87.6/M36</f>
        <v>4.446046623407835</v>
      </c>
      <c r="U36">
        <f>3.3/23</f>
        <v>0.14347826086956522</v>
      </c>
      <c r="V36">
        <f>0.2/39</f>
        <v>0.005128205128205128</v>
      </c>
      <c r="W36">
        <f>15/35.5</f>
        <v>0.4225352112676056</v>
      </c>
      <c r="X36">
        <f>4.2*2.8737/96</f>
        <v>0.125724375</v>
      </c>
    </row>
    <row r="37" spans="1:24" ht="12.75">
      <c r="A37">
        <f>365+225</f>
        <v>590</v>
      </c>
      <c r="B37" t="s">
        <v>74</v>
      </c>
      <c r="C37">
        <f>(31*60)+46</f>
        <v>1906</v>
      </c>
      <c r="D37" s="10">
        <f t="shared" si="0"/>
        <v>0.0005246589716684155</v>
      </c>
      <c r="E37" s="10">
        <f t="shared" si="2"/>
        <v>0.5246589716684156</v>
      </c>
      <c r="F37" s="10">
        <f t="shared" si="3"/>
        <v>0.07869884575026233</v>
      </c>
      <c r="G37">
        <v>320</v>
      </c>
      <c r="H37">
        <v>406</v>
      </c>
      <c r="I37">
        <v>16.7</v>
      </c>
      <c r="J37">
        <v>8</v>
      </c>
      <c r="M37">
        <f>45/40</f>
        <v>1.125</v>
      </c>
      <c r="N37">
        <f>5.9/24.3</f>
        <v>0.24279835390946503</v>
      </c>
      <c r="O37" t="s">
        <v>136</v>
      </c>
      <c r="Q37">
        <f>N37/M37</f>
        <v>0.21582075903063558</v>
      </c>
      <c r="R37">
        <f>24.3/40*1000*Q37</f>
        <v>131.11111111111111</v>
      </c>
      <c r="S37">
        <f t="shared" si="1"/>
        <v>0.031479538300104935</v>
      </c>
      <c r="U37">
        <f>3.3/23</f>
        <v>0.14347826086956522</v>
      </c>
      <c r="V37">
        <f>0.1/39</f>
        <v>0.002564102564102564</v>
      </c>
      <c r="W37">
        <f>11.93/35.5</f>
        <v>0.33605633802816903</v>
      </c>
      <c r="X37">
        <f>2.8*2.8737/96</f>
        <v>0.08381625</v>
      </c>
    </row>
    <row r="38" spans="1:24" ht="12.75">
      <c r="A38">
        <f>365+241</f>
        <v>606</v>
      </c>
      <c r="B38" t="s">
        <v>75</v>
      </c>
      <c r="C38">
        <f>(33*60)+24</f>
        <v>2004</v>
      </c>
      <c r="D38" s="10">
        <f t="shared" si="0"/>
        <v>0.000499001996007984</v>
      </c>
      <c r="E38" s="10">
        <f t="shared" si="2"/>
        <v>0.499001996007984</v>
      </c>
      <c r="F38" s="10">
        <f t="shared" si="3"/>
        <v>0.0748502994011976</v>
      </c>
      <c r="G38" s="10">
        <v>326</v>
      </c>
      <c r="H38" s="10">
        <v>403.5</v>
      </c>
      <c r="I38" s="10">
        <v>16.5</v>
      </c>
      <c r="J38">
        <v>8.3</v>
      </c>
      <c r="M38">
        <f>59/40</f>
        <v>1.475</v>
      </c>
      <c r="N38">
        <f>4.2/24.3</f>
        <v>0.1728395061728395</v>
      </c>
      <c r="O38" t="s">
        <v>137</v>
      </c>
      <c r="Q38">
        <f>N38/M38</f>
        <v>0.11717932621887422</v>
      </c>
      <c r="R38">
        <f>24.3/40*1000*Q38</f>
        <v>71.18644067796609</v>
      </c>
      <c r="S38">
        <f t="shared" si="1"/>
        <v>0.02994011976047904</v>
      </c>
      <c r="U38">
        <f>3.6/23</f>
        <v>0.1565217391304348</v>
      </c>
      <c r="V38">
        <f>0.1/39</f>
        <v>0.002564102564102564</v>
      </c>
      <c r="W38">
        <f>15.89/35.5</f>
        <v>0.4476056338028169</v>
      </c>
      <c r="X38">
        <f>3.6*2.8737/96</f>
        <v>0.10776374999999999</v>
      </c>
    </row>
    <row r="39" spans="1:24" ht="12.75">
      <c r="A39">
        <f>365+251</f>
        <v>616</v>
      </c>
      <c r="B39" t="s">
        <v>76</v>
      </c>
      <c r="C39">
        <v>37.59</v>
      </c>
      <c r="D39" s="10">
        <f t="shared" si="0"/>
        <v>0.026602819898909284</v>
      </c>
      <c r="E39" s="10">
        <f t="shared" si="2"/>
        <v>26.602819898909285</v>
      </c>
      <c r="F39" s="10">
        <f t="shared" si="3"/>
        <v>3.9904229848363926</v>
      </c>
      <c r="G39" s="10">
        <v>328</v>
      </c>
      <c r="H39" s="10">
        <v>409</v>
      </c>
      <c r="I39" s="10">
        <v>19</v>
      </c>
      <c r="J39">
        <v>7.2</v>
      </c>
      <c r="M39">
        <f>58/40</f>
        <v>1.45</v>
      </c>
      <c r="N39">
        <f>4.1/24.3</f>
        <v>0.16872427983539093</v>
      </c>
      <c r="O39" t="s">
        <v>138</v>
      </c>
      <c r="Q39">
        <f>N39/M39</f>
        <v>0.11636157230026961</v>
      </c>
      <c r="R39">
        <f>24.3/40*1000*Q39</f>
        <v>70.6896551724138</v>
      </c>
      <c r="S39">
        <f t="shared" si="1"/>
        <v>1.596169193934557</v>
      </c>
      <c r="U39">
        <f>3.9/23</f>
        <v>0.16956521739130434</v>
      </c>
      <c r="V39">
        <v>0</v>
      </c>
      <c r="W39">
        <f>15.28/35.5</f>
        <v>0.4304225352112676</v>
      </c>
      <c r="X39">
        <f>3.4*2.8737/96</f>
        <v>0.10177687499999999</v>
      </c>
    </row>
    <row r="40" spans="1:20" ht="12.75">
      <c r="A40">
        <f>626</f>
        <v>626</v>
      </c>
      <c r="B40" t="s">
        <v>77</v>
      </c>
      <c r="C40">
        <v>52.82</v>
      </c>
      <c r="D40" s="10">
        <f t="shared" si="0"/>
        <v>0.01893222264293828</v>
      </c>
      <c r="E40" s="10">
        <f t="shared" si="2"/>
        <v>18.93222264293828</v>
      </c>
      <c r="F40" s="10">
        <f t="shared" si="3"/>
        <v>2.839833396440742</v>
      </c>
      <c r="G40" s="10">
        <v>324</v>
      </c>
      <c r="H40" s="10">
        <v>402.5</v>
      </c>
      <c r="I40" s="10">
        <v>19</v>
      </c>
      <c r="J40">
        <v>7.78</v>
      </c>
      <c r="K40">
        <v>279</v>
      </c>
      <c r="M40">
        <f>49/40</f>
        <v>1.225</v>
      </c>
      <c r="N40">
        <f>3.1/24.3</f>
        <v>0.12757201646090535</v>
      </c>
      <c r="O40">
        <v>304</v>
      </c>
      <c r="P40">
        <f>O40/88/1000</f>
        <v>0.0034545454545454545</v>
      </c>
      <c r="Q40">
        <f>N40/M40</f>
        <v>0.10414042160073905</v>
      </c>
      <c r="R40">
        <f>24.3/40*1000*Q40</f>
        <v>63.265306122448976</v>
      </c>
      <c r="S40">
        <f t="shared" si="1"/>
        <v>1.135933358576297</v>
      </c>
      <c r="T40">
        <f>O40/87.6/M40</f>
        <v>2.8329139875128133</v>
      </c>
    </row>
    <row r="41" spans="1:19" ht="12.75">
      <c r="A41">
        <v>636</v>
      </c>
      <c r="B41" t="s">
        <v>78</v>
      </c>
      <c r="C41">
        <v>62.53</v>
      </c>
      <c r="D41" s="10">
        <f t="shared" si="0"/>
        <v>0.015992323684631375</v>
      </c>
      <c r="E41" s="10">
        <f t="shared" si="2"/>
        <v>15.992323684631375</v>
      </c>
      <c r="F41" s="10">
        <f t="shared" si="3"/>
        <v>2.398848552694706</v>
      </c>
      <c r="G41" s="10"/>
      <c r="H41" s="10"/>
      <c r="I41" s="10"/>
      <c r="J41">
        <v>7.43</v>
      </c>
      <c r="S41">
        <f t="shared" si="1"/>
        <v>0.9595394210778825</v>
      </c>
    </row>
    <row r="42" spans="1:19" ht="12.75">
      <c r="A42">
        <f>365+281</f>
        <v>646</v>
      </c>
      <c r="B42" t="s">
        <v>79</v>
      </c>
      <c r="C42">
        <v>74.71</v>
      </c>
      <c r="D42" s="10">
        <f t="shared" si="0"/>
        <v>0.013385089010841924</v>
      </c>
      <c r="E42" s="10">
        <f t="shared" si="2"/>
        <v>13.385089010841924</v>
      </c>
      <c r="F42" s="10">
        <f t="shared" si="3"/>
        <v>2.0077633516262883</v>
      </c>
      <c r="G42" s="10">
        <v>322</v>
      </c>
      <c r="H42" s="10">
        <v>412.5</v>
      </c>
      <c r="I42" s="10">
        <v>90.1</v>
      </c>
      <c r="J42">
        <v>7.83</v>
      </c>
      <c r="M42">
        <f>56/40</f>
        <v>1.4</v>
      </c>
      <c r="N42">
        <f>5.8/24.3</f>
        <v>0.23868312757201646</v>
      </c>
      <c r="Q42">
        <f aca="true" t="shared" si="6" ref="Q42:Q48">N42/M42</f>
        <v>0.17048794826572605</v>
      </c>
      <c r="R42">
        <f aca="true" t="shared" si="7" ref="R42:R48">24.3/40*1000*Q42</f>
        <v>103.57142857142858</v>
      </c>
      <c r="S42">
        <f t="shared" si="1"/>
        <v>0.8031053406505154</v>
      </c>
    </row>
    <row r="43" spans="1:24" ht="12.75">
      <c r="A43">
        <v>656</v>
      </c>
      <c r="B43" t="s">
        <v>80</v>
      </c>
      <c r="C43">
        <v>30.03</v>
      </c>
      <c r="D43" s="10">
        <f t="shared" si="0"/>
        <v>0.0333000333000333</v>
      </c>
      <c r="E43" s="10">
        <f t="shared" si="2"/>
        <v>33.3000333000333</v>
      </c>
      <c r="F43" s="10">
        <f t="shared" si="3"/>
        <v>4.995004995004995</v>
      </c>
      <c r="G43" s="10">
        <v>328</v>
      </c>
      <c r="H43" s="10">
        <v>413.5</v>
      </c>
      <c r="I43" s="10">
        <v>20.9</v>
      </c>
      <c r="J43">
        <v>7.77</v>
      </c>
      <c r="M43">
        <f>57/40</f>
        <v>1.425</v>
      </c>
      <c r="N43">
        <f>4.2/24.3</f>
        <v>0.1728395061728395</v>
      </c>
      <c r="O43">
        <v>476</v>
      </c>
      <c r="P43">
        <f>O43/88/1000</f>
        <v>0.005409090909090909</v>
      </c>
      <c r="Q43">
        <f t="shared" si="6"/>
        <v>0.12129088152479964</v>
      </c>
      <c r="R43">
        <f t="shared" si="7"/>
        <v>73.68421052631578</v>
      </c>
      <c r="S43">
        <f t="shared" si="1"/>
        <v>1.9980019980019978</v>
      </c>
      <c r="T43">
        <f>O43/87.6/M43</f>
        <v>3.8131859328687017</v>
      </c>
      <c r="U43">
        <f>3.9/23</f>
        <v>0.16956521739130434</v>
      </c>
      <c r="V43">
        <f>0.3/39</f>
        <v>0.007692307692307692</v>
      </c>
      <c r="W43">
        <f>37/35.5</f>
        <v>1.0422535211267605</v>
      </c>
      <c r="X43">
        <f>(2.8737*2.5)/96</f>
        <v>0.07483593749999999</v>
      </c>
    </row>
    <row r="44" spans="1:24" ht="12.75">
      <c r="A44">
        <v>665</v>
      </c>
      <c r="B44" t="s">
        <v>81</v>
      </c>
      <c r="C44">
        <v>34</v>
      </c>
      <c r="D44" s="10">
        <f t="shared" si="0"/>
        <v>0.029411764705882353</v>
      </c>
      <c r="E44" s="10">
        <f t="shared" si="2"/>
        <v>29.41176470588235</v>
      </c>
      <c r="F44" s="10">
        <f t="shared" si="3"/>
        <v>4.411764705882352</v>
      </c>
      <c r="G44" s="10">
        <v>324</v>
      </c>
      <c r="H44" s="10">
        <v>409.5</v>
      </c>
      <c r="I44" s="10">
        <v>17.3</v>
      </c>
      <c r="J44">
        <v>7.87</v>
      </c>
      <c r="K44">
        <v>362</v>
      </c>
      <c r="M44">
        <f>50/40</f>
        <v>1.25</v>
      </c>
      <c r="N44">
        <f>3.3/24.3</f>
        <v>0.13580246913580246</v>
      </c>
      <c r="Q44">
        <f t="shared" si="6"/>
        <v>0.10864197530864197</v>
      </c>
      <c r="R44">
        <f t="shared" si="7"/>
        <v>66</v>
      </c>
      <c r="S44">
        <f t="shared" si="1"/>
        <v>1.7647058823529411</v>
      </c>
      <c r="U44">
        <f>3.8/23</f>
        <v>0.16521739130434782</v>
      </c>
      <c r="V44">
        <f>0.2/39</f>
        <v>0.005128205128205128</v>
      </c>
      <c r="W44">
        <f>18.7/35.5</f>
        <v>0.5267605633802817</v>
      </c>
      <c r="X44">
        <f>(2.8737*1.5)/96</f>
        <v>0.0449015625</v>
      </c>
    </row>
    <row r="45" spans="1:24" ht="12.75">
      <c r="A45">
        <f>365+321</f>
        <v>686</v>
      </c>
      <c r="B45" t="s">
        <v>82</v>
      </c>
      <c r="C45">
        <v>35</v>
      </c>
      <c r="D45" s="10">
        <f t="shared" si="0"/>
        <v>0.02857142857142857</v>
      </c>
      <c r="E45" s="10">
        <f t="shared" si="2"/>
        <v>28.57142857142857</v>
      </c>
      <c r="F45" s="10">
        <f t="shared" si="3"/>
        <v>4.285714285714286</v>
      </c>
      <c r="G45" s="10">
        <v>326</v>
      </c>
      <c r="H45" s="10">
        <v>403.5</v>
      </c>
      <c r="I45" s="10">
        <v>21.4</v>
      </c>
      <c r="J45">
        <v>7.5</v>
      </c>
      <c r="M45">
        <f>51/40</f>
        <v>1.275</v>
      </c>
      <c r="N45">
        <f>3.2/24.3</f>
        <v>0.13168724279835392</v>
      </c>
      <c r="Q45">
        <f t="shared" si="6"/>
        <v>0.10328411199870896</v>
      </c>
      <c r="R45">
        <f t="shared" si="7"/>
        <v>62.74509803921569</v>
      </c>
      <c r="S45">
        <f t="shared" si="1"/>
        <v>1.7142857142857142</v>
      </c>
      <c r="U45">
        <f>3.8/23</f>
        <v>0.16521739130434782</v>
      </c>
      <c r="V45">
        <f>0.2/39</f>
        <v>0.005128205128205128</v>
      </c>
      <c r="W45">
        <f>18.6/35.5</f>
        <v>0.5239436619718311</v>
      </c>
      <c r="X45">
        <f>(2.8737*4.4)/96</f>
        <v>0.13171125</v>
      </c>
    </row>
    <row r="46" spans="1:24" ht="12.75">
      <c r="A46">
        <f>365+338</f>
        <v>703</v>
      </c>
      <c r="B46" t="s">
        <v>83</v>
      </c>
      <c r="C46">
        <v>15</v>
      </c>
      <c r="D46" s="10">
        <f t="shared" si="0"/>
        <v>0.06666666666666667</v>
      </c>
      <c r="E46" s="10">
        <f t="shared" si="2"/>
        <v>66.66666666666667</v>
      </c>
      <c r="F46" s="10">
        <f t="shared" si="3"/>
        <v>10</v>
      </c>
      <c r="G46" s="10">
        <v>326</v>
      </c>
      <c r="H46" s="10">
        <v>412</v>
      </c>
      <c r="I46" s="10">
        <v>14.3</v>
      </c>
      <c r="J46">
        <v>7.88</v>
      </c>
      <c r="K46">
        <v>413</v>
      </c>
      <c r="M46">
        <f>72/40</f>
        <v>1.8</v>
      </c>
      <c r="N46">
        <f>3.7/24.3</f>
        <v>0.1522633744855967</v>
      </c>
      <c r="Q46">
        <f t="shared" si="6"/>
        <v>0.08459076360310928</v>
      </c>
      <c r="R46">
        <f t="shared" si="7"/>
        <v>51.38888888888889</v>
      </c>
      <c r="S46">
        <f t="shared" si="1"/>
        <v>4</v>
      </c>
      <c r="U46">
        <f>4/23</f>
        <v>0.17391304347826086</v>
      </c>
      <c r="V46">
        <f>0.2/39</f>
        <v>0.005128205128205128</v>
      </c>
      <c r="W46">
        <f>20.4/35.5</f>
        <v>0.5746478873239437</v>
      </c>
      <c r="X46">
        <f>(2.8737*4.3)/96</f>
        <v>0.1287178125</v>
      </c>
    </row>
    <row r="47" spans="1:24" ht="12.75">
      <c r="A47">
        <f>365+354</f>
        <v>719</v>
      </c>
      <c r="B47" t="s">
        <v>84</v>
      </c>
      <c r="C47">
        <v>17</v>
      </c>
      <c r="D47" s="10">
        <f t="shared" si="0"/>
        <v>0.058823529411764705</v>
      </c>
      <c r="E47" s="10">
        <f t="shared" si="2"/>
        <v>58.8235294117647</v>
      </c>
      <c r="F47" s="10">
        <f t="shared" si="3"/>
        <v>8.823529411764705</v>
      </c>
      <c r="G47" s="10">
        <v>324</v>
      </c>
      <c r="H47" s="10">
        <v>403</v>
      </c>
      <c r="I47" s="10">
        <v>16.2</v>
      </c>
      <c r="J47">
        <v>7.89</v>
      </c>
      <c r="M47">
        <f>69/40</f>
        <v>1.725</v>
      </c>
      <c r="N47">
        <f>3.3/24.3</f>
        <v>0.13580246913580246</v>
      </c>
      <c r="O47">
        <v>510</v>
      </c>
      <c r="P47">
        <f>O47/88/1000</f>
        <v>0.0057954545454545455</v>
      </c>
      <c r="Q47">
        <f t="shared" si="6"/>
        <v>0.07872606906423331</v>
      </c>
      <c r="R47">
        <f t="shared" si="7"/>
        <v>47.826086956521735</v>
      </c>
      <c r="S47">
        <f t="shared" si="1"/>
        <v>3.5294117647058822</v>
      </c>
      <c r="T47">
        <f>O47/87.6/M47</f>
        <v>3.375024816358944</v>
      </c>
      <c r="U47">
        <f>3.8/23</f>
        <v>0.16521739130434782</v>
      </c>
      <c r="V47">
        <f>0.1/39</f>
        <v>0.002564102564102564</v>
      </c>
      <c r="W47">
        <f>20.6/35.5</f>
        <v>0.5802816901408451</v>
      </c>
      <c r="X47">
        <f>(2.8737*4)/96</f>
        <v>0.1197375</v>
      </c>
    </row>
    <row r="48" spans="1:24" ht="12.75">
      <c r="A48">
        <v>738</v>
      </c>
      <c r="B48" t="s">
        <v>139</v>
      </c>
      <c r="C48">
        <v>20</v>
      </c>
      <c r="D48" s="12">
        <v>0.05</v>
      </c>
      <c r="E48" s="10">
        <f t="shared" si="2"/>
        <v>50</v>
      </c>
      <c r="F48" s="10">
        <f t="shared" si="3"/>
        <v>7.5</v>
      </c>
      <c r="G48" s="12">
        <v>324</v>
      </c>
      <c r="H48" s="12">
        <v>409</v>
      </c>
      <c r="I48" s="12">
        <v>18.5</v>
      </c>
      <c r="J48">
        <v>7.81</v>
      </c>
      <c r="M48">
        <f>62/40</f>
        <v>1.55</v>
      </c>
      <c r="N48">
        <f>2.9/24.3</f>
        <v>0.11934156378600823</v>
      </c>
      <c r="O48">
        <v>432</v>
      </c>
      <c r="P48">
        <f>O48/88/1000</f>
        <v>0.004909090909090909</v>
      </c>
      <c r="Q48">
        <f t="shared" si="6"/>
        <v>0.07699455728129563</v>
      </c>
      <c r="R48">
        <f t="shared" si="7"/>
        <v>46.774193548387096</v>
      </c>
      <c r="S48">
        <f t="shared" si="1"/>
        <v>3</v>
      </c>
      <c r="T48">
        <f>O48/87.6/M48</f>
        <v>3.181617322138754</v>
      </c>
      <c r="U48">
        <f>3.4/23</f>
        <v>0.14782608695652175</v>
      </c>
      <c r="V48">
        <f>0.4/39</f>
        <v>0.010256410256410256</v>
      </c>
      <c r="W48">
        <f>22/35.5</f>
        <v>0.6197183098591549</v>
      </c>
      <c r="X48">
        <f>(2.8737*2.07)/96</f>
        <v>0.06196415624999999</v>
      </c>
    </row>
    <row r="49" spans="1:9" ht="12.75">
      <c r="A49">
        <v>765</v>
      </c>
      <c r="B49" t="s">
        <v>87</v>
      </c>
      <c r="C49">
        <v>20</v>
      </c>
      <c r="D49" s="10">
        <f>1/C49</f>
        <v>0.05</v>
      </c>
      <c r="E49" s="10">
        <f t="shared" si="2"/>
        <v>50</v>
      </c>
      <c r="F49" s="10">
        <f t="shared" si="3"/>
        <v>7.5</v>
      </c>
      <c r="G49" s="12">
        <v>330</v>
      </c>
      <c r="H49" s="12">
        <v>406.5</v>
      </c>
      <c r="I49" s="12">
        <v>15.8</v>
      </c>
    </row>
    <row r="50" spans="1:10" ht="12.75">
      <c r="A50">
        <v>789</v>
      </c>
      <c r="B50" t="s">
        <v>88</v>
      </c>
      <c r="C50">
        <v>39</v>
      </c>
      <c r="D50" s="10">
        <f>1/C50</f>
        <v>0.02564102564102564</v>
      </c>
      <c r="E50" s="10">
        <f t="shared" si="2"/>
        <v>25.64102564102564</v>
      </c>
      <c r="F50" s="10">
        <f t="shared" si="3"/>
        <v>3.846153846153846</v>
      </c>
      <c r="G50" s="12">
        <v>325</v>
      </c>
      <c r="H50" s="12">
        <v>410.5</v>
      </c>
      <c r="I50" s="12">
        <v>17.1</v>
      </c>
      <c r="J50">
        <v>7.96</v>
      </c>
    </row>
    <row r="51" spans="4:6" ht="12.75">
      <c r="D51" s="12"/>
      <c r="E51" s="12"/>
      <c r="F51" s="12"/>
    </row>
    <row r="52" spans="4:6" ht="12.75">
      <c r="D52" s="12"/>
      <c r="E52" s="12"/>
      <c r="F52" s="12"/>
    </row>
    <row r="53" spans="3:9" ht="12.75">
      <c r="C53" t="s">
        <v>89</v>
      </c>
      <c r="D53" s="10">
        <f>AVERAGE(D18:D51)</f>
        <v>0.024022568177222516</v>
      </c>
      <c r="E53" s="10"/>
      <c r="F53" s="10"/>
      <c r="G53" s="12"/>
      <c r="H53" s="12"/>
      <c r="I53" s="12"/>
    </row>
    <row r="54" spans="3:9" ht="12.75">
      <c r="C54" t="s">
        <v>90</v>
      </c>
      <c r="D54" s="10">
        <f>STDEV(D18:D51)</f>
        <v>0.016993936447171884</v>
      </c>
      <c r="E54" s="10"/>
      <c r="F54" s="10"/>
      <c r="G54" s="12"/>
      <c r="H54" s="12"/>
      <c r="I54" s="12"/>
    </row>
    <row r="55" spans="3:9" ht="12.75">
      <c r="C55" t="s">
        <v>91</v>
      </c>
      <c r="D55" s="10">
        <f>D54/D53*100</f>
        <v>70.74154737246215</v>
      </c>
      <c r="E55" s="10"/>
      <c r="F55" s="10"/>
      <c r="G55" s="12"/>
      <c r="H55" s="12"/>
      <c r="I55" s="12"/>
    </row>
    <row r="56" spans="4:9" ht="12.75">
      <c r="D56" s="12"/>
      <c r="E56" s="12"/>
      <c r="F56" s="12"/>
      <c r="G56" s="12">
        <f>AVERAGE(G6:G48)</f>
        <v>325.9130434782609</v>
      </c>
      <c r="H56" s="12">
        <f>AVERAGE(H6:H48)</f>
        <v>408.39130434782606</v>
      </c>
      <c r="I56" s="12">
        <f>AVERAGE(I6:I48)</f>
        <v>25.08695652173913</v>
      </c>
    </row>
    <row r="57" spans="4:9" ht="12.75">
      <c r="D57" s="12"/>
      <c r="E57" s="12"/>
      <c r="F57" s="12"/>
      <c r="G57" s="12">
        <f>STDEV(G6:G48)</f>
        <v>4.021680375599133</v>
      </c>
      <c r="H57" s="12">
        <f>STDEV(H6:H48)</f>
        <v>4.726512556697523</v>
      </c>
      <c r="I57" s="12">
        <f>STDEV(I6:I48)</f>
        <v>17.8661768904218</v>
      </c>
    </row>
    <row r="58" spans="2:24" ht="12.75">
      <c r="B58" t="s">
        <v>92</v>
      </c>
      <c r="D58" s="12">
        <f>MAX(D8:D51)</f>
        <v>0.06666666666666667</v>
      </c>
      <c r="E58" s="12"/>
      <c r="F58" s="12"/>
      <c r="G58" s="12"/>
      <c r="H58" s="12"/>
      <c r="I58" s="12" t="s">
        <v>93</v>
      </c>
      <c r="J58">
        <f aca="true" t="shared" si="8" ref="J58:Q58">MIN(J8:J52)</f>
        <v>7.2</v>
      </c>
      <c r="K58">
        <f t="shared" si="8"/>
        <v>275</v>
      </c>
      <c r="L58">
        <f t="shared" si="8"/>
        <v>1.8</v>
      </c>
      <c r="M58">
        <f t="shared" si="8"/>
        <v>0.95</v>
      </c>
      <c r="N58">
        <f t="shared" si="8"/>
        <v>0.11934156378600823</v>
      </c>
      <c r="O58">
        <f t="shared" si="8"/>
        <v>304</v>
      </c>
      <c r="P58">
        <f t="shared" si="8"/>
        <v>0.0034545454545454545</v>
      </c>
      <c r="Q58">
        <f t="shared" si="8"/>
        <v>0.06710680838045613</v>
      </c>
      <c r="T58">
        <f>MIN(T8:T52)</f>
        <v>2.545908478696495</v>
      </c>
      <c r="U58">
        <f>MIN(U8:U52)</f>
        <v>0.13043478260869565</v>
      </c>
      <c r="V58">
        <f>MIN(V8:V52)</f>
        <v>0</v>
      </c>
      <c r="W58">
        <f>MIN(W8:W52)</f>
        <v>0.33605633802816903</v>
      </c>
      <c r="X58">
        <f>MIN(X8:X52)</f>
        <v>0.0449015625</v>
      </c>
    </row>
    <row r="59" spans="2:9" ht="12.75">
      <c r="B59" t="s">
        <v>94</v>
      </c>
      <c r="D59" s="18">
        <f>D58/1000*0.15</f>
        <v>1E-05</v>
      </c>
      <c r="E59" s="18"/>
      <c r="F59" s="18"/>
      <c r="G59" s="12"/>
      <c r="H59" s="12"/>
      <c r="I59" s="12"/>
    </row>
    <row r="60" spans="4:9" ht="12.75">
      <c r="D60" s="12"/>
      <c r="E60" s="12"/>
      <c r="F60" s="12"/>
      <c r="G60" s="12"/>
      <c r="H60" s="12"/>
      <c r="I60" s="12"/>
    </row>
    <row r="61" spans="4:9" ht="12.75">
      <c r="D61" s="12"/>
      <c r="E61" s="12"/>
      <c r="F61" s="12"/>
      <c r="G61" s="12"/>
      <c r="H61" s="12"/>
      <c r="I61" s="12"/>
    </row>
    <row r="62" spans="4:9" ht="12.75">
      <c r="D62" s="12"/>
      <c r="E62" s="12"/>
      <c r="F62" s="12"/>
      <c r="G62" s="12"/>
      <c r="H62" s="12"/>
      <c r="I62" s="12"/>
    </row>
    <row r="63" spans="4:9" ht="12.75">
      <c r="D63" s="12"/>
      <c r="E63" s="12"/>
      <c r="F63" s="12"/>
      <c r="G63" s="12"/>
      <c r="H63" s="12"/>
      <c r="I63" s="12"/>
    </row>
    <row r="64" spans="4:9" ht="12.75">
      <c r="D64" s="12"/>
      <c r="E64" s="12"/>
      <c r="F64" s="12"/>
      <c r="G64" s="12"/>
      <c r="H64" s="12"/>
      <c r="I64" s="12"/>
    </row>
    <row r="65" spans="4:9" ht="12.75">
      <c r="D65" s="12"/>
      <c r="E65" s="12"/>
      <c r="F65" s="12"/>
      <c r="G65" s="12"/>
      <c r="H65" s="12"/>
      <c r="I65" s="12"/>
    </row>
    <row r="66" spans="4:9" ht="12.75">
      <c r="D66" s="12"/>
      <c r="E66" s="12"/>
      <c r="F66" s="12"/>
      <c r="G66" s="12"/>
      <c r="H66" s="12"/>
      <c r="I66" s="12"/>
    </row>
    <row r="67" spans="4:9" ht="12.75">
      <c r="D67" s="12"/>
      <c r="E67" s="12"/>
      <c r="F67" s="12"/>
      <c r="G67" s="12"/>
      <c r="H67" s="12"/>
      <c r="I67" s="12"/>
    </row>
    <row r="68" spans="4:9" ht="12.75">
      <c r="D68" s="12"/>
      <c r="E68" s="12"/>
      <c r="F68" s="12"/>
      <c r="G68" s="12"/>
      <c r="H68" s="12"/>
      <c r="I68" s="12"/>
    </row>
    <row r="69" spans="4:9" ht="12.75">
      <c r="D69" s="12"/>
      <c r="E69" s="12"/>
      <c r="F69" s="12"/>
      <c r="G69" s="12"/>
      <c r="H69" s="12"/>
      <c r="I69" s="12"/>
    </row>
    <row r="70" spans="4:9" ht="12.75">
      <c r="D70" s="12"/>
      <c r="E70" s="12"/>
      <c r="F70" s="12"/>
      <c r="G70" s="12"/>
      <c r="H70" s="12"/>
      <c r="I70" s="12"/>
    </row>
    <row r="71" spans="4:9" ht="12.75">
      <c r="D71" s="12"/>
      <c r="E71" s="12"/>
      <c r="F71" s="12"/>
      <c r="G71" s="12"/>
      <c r="H71" s="12"/>
      <c r="I71" s="12"/>
    </row>
    <row r="72" spans="4:9" ht="12.75">
      <c r="D72" s="12"/>
      <c r="E72" s="12"/>
      <c r="F72" s="12"/>
      <c r="G72" s="12"/>
      <c r="H72" s="12"/>
      <c r="I72" s="12"/>
    </row>
    <row r="73" spans="4:9" ht="12.75">
      <c r="D73" s="12"/>
      <c r="E73" s="12"/>
      <c r="F73" s="12"/>
      <c r="G73" s="12"/>
      <c r="H73" s="12"/>
      <c r="I73" s="12"/>
    </row>
    <row r="74" spans="4:9" ht="12.75">
      <c r="D74" s="12"/>
      <c r="E74" s="12"/>
      <c r="F74" s="12"/>
      <c r="G74" s="12"/>
      <c r="H74" s="12"/>
      <c r="I74" s="12"/>
    </row>
    <row r="75" spans="4:9" ht="12.75">
      <c r="D75" s="12"/>
      <c r="E75" s="12"/>
      <c r="F75" s="12"/>
      <c r="G75" s="12"/>
      <c r="H75" s="12"/>
      <c r="I75" s="12"/>
    </row>
    <row r="76" spans="4:9" ht="12.75">
      <c r="D76" s="12"/>
      <c r="E76" s="12"/>
      <c r="F76" s="12"/>
      <c r="G76" s="12"/>
      <c r="H76" s="12"/>
      <c r="I76" s="12"/>
    </row>
    <row r="77" spans="4:9" ht="12.75">
      <c r="D77" s="12"/>
      <c r="E77" s="12"/>
      <c r="F77" s="12"/>
      <c r="G77" s="12"/>
      <c r="H77" s="12"/>
      <c r="I77" s="12"/>
    </row>
    <row r="78" spans="4:9" ht="12.75">
      <c r="D78" s="12"/>
      <c r="E78" s="12"/>
      <c r="F78" s="12"/>
      <c r="G78" s="12"/>
      <c r="H78" s="12"/>
      <c r="I78" s="12"/>
    </row>
    <row r="79" spans="4:9" ht="12.75">
      <c r="D79" s="12"/>
      <c r="E79" s="12"/>
      <c r="F79" s="12"/>
      <c r="G79" s="12"/>
      <c r="H79" s="12"/>
      <c r="I79" s="12"/>
    </row>
    <row r="80" spans="4:9" ht="12.75">
      <c r="D80" s="12"/>
      <c r="E80" s="12"/>
      <c r="F80" s="12"/>
      <c r="G80" s="12"/>
      <c r="H80" s="12"/>
      <c r="I80" s="12"/>
    </row>
    <row r="81" spans="4:9" ht="12.75">
      <c r="D81" s="12"/>
      <c r="E81" s="12"/>
      <c r="F81" s="12"/>
      <c r="G81" s="12"/>
      <c r="H81" s="12"/>
      <c r="I81" s="12"/>
    </row>
    <row r="82" spans="4:9" ht="12.75">
      <c r="D82" s="12"/>
      <c r="E82" s="12"/>
      <c r="F82" s="12"/>
      <c r="G82" s="12"/>
      <c r="H82" s="12"/>
      <c r="I82" s="12"/>
    </row>
    <row r="83" spans="4:9" ht="12.75">
      <c r="D83" s="12"/>
      <c r="E83" s="12"/>
      <c r="F83" s="12"/>
      <c r="G83" s="12"/>
      <c r="H83" s="12"/>
      <c r="I83" s="12"/>
    </row>
    <row r="84" spans="4:9" ht="12.75">
      <c r="D84" s="12"/>
      <c r="E84" s="12"/>
      <c r="F84" s="12"/>
      <c r="G84" s="12"/>
      <c r="H84" s="12"/>
      <c r="I84" s="12"/>
    </row>
    <row r="85" spans="4:9" ht="12.75">
      <c r="D85" s="12"/>
      <c r="E85" s="12"/>
      <c r="F85" s="12"/>
      <c r="G85" s="12"/>
      <c r="H85" s="12"/>
      <c r="I85" s="12"/>
    </row>
    <row r="86" spans="4:9" ht="12.75">
      <c r="D86" s="12"/>
      <c r="E86" s="12"/>
      <c r="F86" s="12"/>
      <c r="G86" s="12"/>
      <c r="H86" s="12"/>
      <c r="I86" s="12"/>
    </row>
    <row r="87" spans="4:9" ht="12.75">
      <c r="D87" s="12"/>
      <c r="E87" s="12"/>
      <c r="F87" s="12"/>
      <c r="G87" s="12"/>
      <c r="H87" s="12"/>
      <c r="I87" s="12"/>
    </row>
    <row r="88" spans="4:9" ht="12.75">
      <c r="D88" s="12"/>
      <c r="E88" s="12"/>
      <c r="F88" s="12"/>
      <c r="G88" s="12"/>
      <c r="H88" s="12"/>
      <c r="I88" s="12"/>
    </row>
    <row r="89" spans="4:9" ht="12.75">
      <c r="D89" s="12"/>
      <c r="E89" s="12"/>
      <c r="F89" s="12"/>
      <c r="G89" s="12"/>
      <c r="H89" s="12"/>
      <c r="I89" s="12"/>
    </row>
    <row r="90" spans="4:9" ht="12.75">
      <c r="D90" s="12"/>
      <c r="E90" s="12"/>
      <c r="F90" s="12"/>
      <c r="G90" s="12"/>
      <c r="H90" s="12"/>
      <c r="I90" s="12"/>
    </row>
    <row r="91" spans="4:9" ht="12.75">
      <c r="D91" s="12"/>
      <c r="E91" s="12"/>
      <c r="F91" s="12"/>
      <c r="G91" s="12"/>
      <c r="H91" s="12"/>
      <c r="I91" s="12"/>
    </row>
    <row r="92" spans="4:9" ht="12.75">
      <c r="D92" s="12"/>
      <c r="E92" s="12"/>
      <c r="F92" s="12"/>
      <c r="G92" s="12"/>
      <c r="H92" s="12"/>
      <c r="I92" s="12"/>
    </row>
    <row r="93" spans="4:9" ht="12.75">
      <c r="D93" s="12"/>
      <c r="E93" s="12"/>
      <c r="F93" s="12"/>
      <c r="G93" s="12"/>
      <c r="H93" s="12"/>
      <c r="I93" s="12"/>
    </row>
    <row r="94" spans="4:9" ht="12.75">
      <c r="D94" s="12"/>
      <c r="E94" s="12"/>
      <c r="F94" s="12"/>
      <c r="G94" s="12"/>
      <c r="H94" s="12"/>
      <c r="I94" s="12"/>
    </row>
    <row r="95" spans="4:9" ht="12.75">
      <c r="D95" s="12"/>
      <c r="E95" s="12"/>
      <c r="F95" s="12"/>
      <c r="G95" s="12"/>
      <c r="H95" s="12"/>
      <c r="I95" s="12"/>
    </row>
    <row r="96" spans="4:9" ht="12.75">
      <c r="D96" s="12"/>
      <c r="E96" s="12"/>
      <c r="F96" s="12"/>
      <c r="G96" s="12"/>
      <c r="H96" s="12"/>
      <c r="I96" s="12"/>
    </row>
    <row r="97" spans="4:9" ht="12.75">
      <c r="D97" s="12"/>
      <c r="E97" s="12"/>
      <c r="F97" s="12"/>
      <c r="G97" s="12"/>
      <c r="H97" s="12"/>
      <c r="I97" s="12"/>
    </row>
    <row r="98" spans="4:9" ht="12.75">
      <c r="D98" s="12"/>
      <c r="E98" s="12"/>
      <c r="F98" s="12"/>
      <c r="G98" s="12"/>
      <c r="H98" s="12"/>
      <c r="I98" s="12"/>
    </row>
    <row r="99" spans="4:9" ht="12.75">
      <c r="D99" s="12"/>
      <c r="E99" s="12"/>
      <c r="F99" s="12"/>
      <c r="G99" s="12"/>
      <c r="H99" s="12"/>
      <c r="I99" s="12"/>
    </row>
    <row r="100" spans="4:9" ht="12.75">
      <c r="D100" s="12"/>
      <c r="E100" s="12"/>
      <c r="F100" s="12"/>
      <c r="G100" s="12"/>
      <c r="H100" s="12"/>
      <c r="I100" s="12"/>
    </row>
    <row r="101" spans="4:9" ht="12.75">
      <c r="D101" s="12"/>
      <c r="E101" s="12"/>
      <c r="F101" s="12"/>
      <c r="G101" s="12"/>
      <c r="H101" s="12"/>
      <c r="I101" s="12"/>
    </row>
    <row r="102" spans="4:9" ht="12.75">
      <c r="D102" s="12"/>
      <c r="E102" s="12"/>
      <c r="F102" s="12"/>
      <c r="G102" s="12"/>
      <c r="H102" s="12"/>
      <c r="I102" s="12"/>
    </row>
    <row r="103" spans="4:9" ht="12.75">
      <c r="D103" s="12"/>
      <c r="E103" s="12"/>
      <c r="F103" s="12"/>
      <c r="G103" s="12"/>
      <c r="H103" s="12"/>
      <c r="I103" s="12"/>
    </row>
    <row r="104" spans="4:9" ht="12.75">
      <c r="D104" s="12"/>
      <c r="E104" s="12"/>
      <c r="F104" s="12"/>
      <c r="G104" s="12"/>
      <c r="H104" s="12"/>
      <c r="I104" s="12"/>
    </row>
    <row r="105" spans="4:9" ht="12.75">
      <c r="D105" s="12"/>
      <c r="E105" s="12"/>
      <c r="F105" s="12"/>
      <c r="G105" s="12"/>
      <c r="H105" s="12"/>
      <c r="I105" s="12"/>
    </row>
    <row r="106" spans="4:9" ht="12.75">
      <c r="D106" s="12"/>
      <c r="E106" s="12"/>
      <c r="F106" s="12"/>
      <c r="G106" s="12"/>
      <c r="H106" s="12"/>
      <c r="I106" s="12"/>
    </row>
    <row r="107" spans="4:9" ht="12.75">
      <c r="D107" s="12"/>
      <c r="E107" s="12"/>
      <c r="F107" s="12"/>
      <c r="G107" s="12"/>
      <c r="H107" s="12"/>
      <c r="I107" s="12"/>
    </row>
    <row r="108" spans="4:9" ht="12.75">
      <c r="D108" s="12"/>
      <c r="E108" s="12"/>
      <c r="F108" s="12"/>
      <c r="G108" s="12"/>
      <c r="H108" s="12"/>
      <c r="I108" s="12"/>
    </row>
    <row r="109" spans="4:9" ht="12.75">
      <c r="D109" s="12"/>
      <c r="E109" s="12"/>
      <c r="F109" s="12"/>
      <c r="G109" s="12"/>
      <c r="H109" s="12"/>
      <c r="I109" s="12"/>
    </row>
    <row r="110" spans="4:9" ht="12.75">
      <c r="D110" s="12"/>
      <c r="E110" s="12"/>
      <c r="F110" s="12"/>
      <c r="G110" s="12"/>
      <c r="H110" s="12"/>
      <c r="I110" s="12"/>
    </row>
    <row r="111" spans="4:9" ht="12.75">
      <c r="D111" s="12"/>
      <c r="E111" s="12"/>
      <c r="F111" s="12"/>
      <c r="G111" s="12"/>
      <c r="H111" s="12"/>
      <c r="I111" s="12"/>
    </row>
    <row r="112" spans="4:9" ht="12.75">
      <c r="D112" s="12"/>
      <c r="E112" s="12"/>
      <c r="F112" s="12"/>
      <c r="G112" s="12"/>
      <c r="H112" s="12"/>
      <c r="I112" s="12"/>
    </row>
    <row r="113" spans="4:9" ht="12.75">
      <c r="D113" s="12"/>
      <c r="E113" s="12"/>
      <c r="F113" s="12"/>
      <c r="G113" s="12"/>
      <c r="H113" s="12"/>
      <c r="I113" s="12"/>
    </row>
    <row r="114" spans="4:9" ht="12.75">
      <c r="D114" s="12"/>
      <c r="E114" s="12"/>
      <c r="F114" s="12"/>
      <c r="G114" s="12"/>
      <c r="H114" s="12"/>
      <c r="I114" s="12"/>
    </row>
    <row r="115" spans="4:9" ht="12.75">
      <c r="D115" s="12"/>
      <c r="E115" s="12"/>
      <c r="F115" s="12"/>
      <c r="G115" s="12"/>
      <c r="H115" s="12"/>
      <c r="I115" s="12"/>
    </row>
    <row r="116" spans="4:9" ht="12.75">
      <c r="D116" s="12"/>
      <c r="E116" s="12"/>
      <c r="F116" s="12"/>
      <c r="G116" s="12"/>
      <c r="H116" s="12"/>
      <c r="I116" s="12"/>
    </row>
    <row r="117" spans="4:9" ht="12.75">
      <c r="D117" s="12"/>
      <c r="E117" s="12"/>
      <c r="F117" s="12"/>
      <c r="G117" s="12"/>
      <c r="H117" s="12"/>
      <c r="I117" s="12"/>
    </row>
    <row r="118" spans="4:9" ht="12.75">
      <c r="D118" s="12"/>
      <c r="E118" s="12"/>
      <c r="F118" s="12"/>
      <c r="G118" s="12"/>
      <c r="H118" s="12"/>
      <c r="I118" s="12"/>
    </row>
    <row r="119" spans="4:9" ht="12.75">
      <c r="D119" s="12"/>
      <c r="E119" s="12"/>
      <c r="F119" s="12"/>
      <c r="G119" s="12"/>
      <c r="H119" s="12"/>
      <c r="I119" s="12"/>
    </row>
    <row r="120" spans="4:9" ht="12.75">
      <c r="D120" s="12"/>
      <c r="E120" s="12"/>
      <c r="F120" s="12"/>
      <c r="G120" s="12"/>
      <c r="H120" s="12"/>
      <c r="I120" s="12"/>
    </row>
    <row r="121" spans="4:9" ht="12.75">
      <c r="D121" s="12"/>
      <c r="E121" s="12"/>
      <c r="F121" s="12"/>
      <c r="G121" s="12"/>
      <c r="H121" s="12"/>
      <c r="I121" s="12"/>
    </row>
    <row r="122" spans="4:9" ht="12.75">
      <c r="D122" s="12"/>
      <c r="E122" s="12"/>
      <c r="F122" s="12"/>
      <c r="G122" s="12"/>
      <c r="H122" s="12"/>
      <c r="I122" s="12"/>
    </row>
    <row r="123" spans="4:9" ht="12.75">
      <c r="D123" s="12"/>
      <c r="E123" s="12"/>
      <c r="F123" s="12"/>
      <c r="G123" s="12"/>
      <c r="H123" s="12"/>
      <c r="I123" s="12"/>
    </row>
    <row r="124" spans="4:9" ht="12.75">
      <c r="D124" s="12"/>
      <c r="E124" s="12"/>
      <c r="F124" s="12"/>
      <c r="G124" s="12"/>
      <c r="H124" s="12"/>
      <c r="I124" s="12"/>
    </row>
    <row r="125" spans="4:9" ht="12.75">
      <c r="D125" s="12"/>
      <c r="E125" s="12"/>
      <c r="F125" s="12"/>
      <c r="G125" s="12"/>
      <c r="H125" s="12"/>
      <c r="I125" s="12"/>
    </row>
    <row r="126" spans="4:9" ht="12.75">
      <c r="D126" s="12"/>
      <c r="E126" s="12"/>
      <c r="F126" s="12"/>
      <c r="G126" s="12"/>
      <c r="H126" s="12"/>
      <c r="I126" s="12"/>
    </row>
    <row r="127" spans="4:9" ht="12.75">
      <c r="D127" s="12"/>
      <c r="E127" s="12"/>
      <c r="F127" s="12"/>
      <c r="G127" s="12"/>
      <c r="H127" s="12"/>
      <c r="I127" s="12"/>
    </row>
    <row r="128" spans="4:9" ht="12.75">
      <c r="D128" s="12"/>
      <c r="E128" s="12"/>
      <c r="F128" s="12"/>
      <c r="G128" s="12"/>
      <c r="H128" s="12"/>
      <c r="I128" s="12"/>
    </row>
    <row r="129" spans="4:9" ht="12.75">
      <c r="D129" s="12"/>
      <c r="E129" s="12"/>
      <c r="F129" s="12"/>
      <c r="G129" s="12"/>
      <c r="H129" s="12"/>
      <c r="I129" s="12"/>
    </row>
    <row r="130" spans="4:9" ht="12.75">
      <c r="D130" s="12"/>
      <c r="E130" s="12"/>
      <c r="F130" s="12"/>
      <c r="G130" s="12"/>
      <c r="H130" s="12"/>
      <c r="I130" s="12"/>
    </row>
    <row r="131" spans="4:9" ht="12.75">
      <c r="D131" s="12"/>
      <c r="E131" s="12"/>
      <c r="F131" s="12"/>
      <c r="G131" s="12"/>
      <c r="H131" s="12"/>
      <c r="I131" s="12"/>
    </row>
    <row r="132" spans="4:9" ht="12.75">
      <c r="D132" s="12"/>
      <c r="E132" s="12"/>
      <c r="F132" s="12"/>
      <c r="G132" s="12"/>
      <c r="H132" s="12"/>
      <c r="I132" s="12"/>
    </row>
    <row r="133" spans="4:9" ht="12.75">
      <c r="D133" s="12"/>
      <c r="E133" s="12"/>
      <c r="F133" s="12"/>
      <c r="G133" s="12"/>
      <c r="H133" s="12"/>
      <c r="I133" s="12"/>
    </row>
    <row r="134" spans="4:9" ht="12.75">
      <c r="D134" s="12"/>
      <c r="E134" s="12"/>
      <c r="F134" s="12"/>
      <c r="G134" s="12"/>
      <c r="H134" s="12"/>
      <c r="I134" s="12"/>
    </row>
    <row r="135" spans="4:9" ht="12.75">
      <c r="D135" s="12"/>
      <c r="E135" s="12"/>
      <c r="F135" s="12"/>
      <c r="G135" s="12"/>
      <c r="H135" s="12"/>
      <c r="I135" s="12"/>
    </row>
    <row r="136" spans="4:9" ht="12.75">
      <c r="D136" s="12"/>
      <c r="E136" s="12"/>
      <c r="F136" s="12"/>
      <c r="G136" s="12"/>
      <c r="H136" s="12"/>
      <c r="I136" s="12"/>
    </row>
    <row r="137" spans="4:9" ht="12.75">
      <c r="D137" s="12"/>
      <c r="E137" s="12"/>
      <c r="F137" s="12"/>
      <c r="G137" s="12"/>
      <c r="H137" s="12"/>
      <c r="I137" s="12"/>
    </row>
    <row r="138" spans="4:9" ht="12.75">
      <c r="D138" s="12"/>
      <c r="E138" s="12"/>
      <c r="F138" s="12"/>
      <c r="G138" s="12"/>
      <c r="H138" s="12"/>
      <c r="I138" s="12"/>
    </row>
    <row r="139" spans="4:9" ht="12.75">
      <c r="D139" s="12"/>
      <c r="E139" s="12"/>
      <c r="F139" s="12"/>
      <c r="G139" s="12"/>
      <c r="H139" s="12"/>
      <c r="I139" s="12"/>
    </row>
    <row r="140" spans="4:9" ht="12.75">
      <c r="D140" s="12"/>
      <c r="E140" s="12"/>
      <c r="F140" s="12"/>
      <c r="G140" s="12"/>
      <c r="H140" s="12"/>
      <c r="I140" s="12"/>
    </row>
    <row r="141" spans="4:9" ht="12.75">
      <c r="D141" s="12"/>
      <c r="E141" s="12"/>
      <c r="F141" s="12"/>
      <c r="G141" s="12"/>
      <c r="H141" s="12"/>
      <c r="I141" s="12"/>
    </row>
    <row r="142" spans="4:9" ht="12.75">
      <c r="D142" s="12"/>
      <c r="E142" s="12"/>
      <c r="F142" s="12"/>
      <c r="G142" s="12"/>
      <c r="H142" s="12"/>
      <c r="I142" s="12"/>
    </row>
    <row r="143" spans="4:9" ht="12.75">
      <c r="D143" s="12"/>
      <c r="E143" s="12"/>
      <c r="F143" s="12"/>
      <c r="G143" s="12"/>
      <c r="H143" s="12"/>
      <c r="I143" s="12"/>
    </row>
    <row r="144" spans="4:9" ht="12.75">
      <c r="D144" s="12"/>
      <c r="E144" s="12"/>
      <c r="F144" s="12"/>
      <c r="G144" s="12"/>
      <c r="H144" s="12"/>
      <c r="I144" s="12"/>
    </row>
    <row r="145" spans="4:9" ht="12.75">
      <c r="D145" s="12"/>
      <c r="E145" s="12"/>
      <c r="F145" s="12"/>
      <c r="G145" s="12"/>
      <c r="H145" s="12"/>
      <c r="I145" s="12"/>
    </row>
    <row r="146" spans="4:9" ht="12.75">
      <c r="D146" s="12"/>
      <c r="E146" s="12"/>
      <c r="F146" s="12"/>
      <c r="G146" s="12"/>
      <c r="H146" s="12"/>
      <c r="I146" s="12"/>
    </row>
    <row r="147" spans="4:9" ht="12.75">
      <c r="D147" s="12"/>
      <c r="E147" s="12"/>
      <c r="F147" s="12"/>
      <c r="G147" s="12"/>
      <c r="H147" s="12"/>
      <c r="I147" s="12"/>
    </row>
    <row r="148" spans="4:9" ht="12.75">
      <c r="D148" s="12"/>
      <c r="E148" s="12"/>
      <c r="F148" s="12"/>
      <c r="G148" s="12"/>
      <c r="H148" s="12"/>
      <c r="I148" s="12"/>
    </row>
    <row r="149" spans="4:9" ht="12.75">
      <c r="D149" s="12"/>
      <c r="E149" s="12"/>
      <c r="F149" s="12"/>
      <c r="G149" s="12"/>
      <c r="H149" s="12"/>
      <c r="I149" s="12"/>
    </row>
    <row r="150" spans="4:9" ht="12.75">
      <c r="D150" s="12"/>
      <c r="E150" s="12"/>
      <c r="F150" s="12"/>
      <c r="G150" s="12"/>
      <c r="H150" s="12"/>
      <c r="I150" s="12"/>
    </row>
    <row r="151" spans="4:9" ht="12.75">
      <c r="D151" s="12"/>
      <c r="E151" s="12"/>
      <c r="F151" s="12"/>
      <c r="G151" s="12"/>
      <c r="H151" s="12"/>
      <c r="I151" s="12"/>
    </row>
    <row r="152" spans="4:9" ht="12.75">
      <c r="D152" s="12"/>
      <c r="E152" s="12"/>
      <c r="F152" s="12"/>
      <c r="G152" s="12"/>
      <c r="H152" s="12"/>
      <c r="I152" s="12"/>
    </row>
    <row r="153" spans="4:9" ht="12.75">
      <c r="D153" s="12"/>
      <c r="E153" s="12"/>
      <c r="F153" s="12"/>
      <c r="G153" s="12"/>
      <c r="H153" s="12"/>
      <c r="I153" s="12"/>
    </row>
    <row r="154" spans="4:9" ht="12.75">
      <c r="D154" s="12"/>
      <c r="E154" s="12"/>
      <c r="F154" s="12"/>
      <c r="G154" s="12"/>
      <c r="H154" s="12"/>
      <c r="I154" s="12"/>
    </row>
    <row r="155" spans="4:9" ht="12.75">
      <c r="D155" s="12"/>
      <c r="E155" s="12"/>
      <c r="F155" s="12"/>
      <c r="G155" s="12"/>
      <c r="H155" s="12"/>
      <c r="I155" s="12"/>
    </row>
    <row r="156" spans="4:9" ht="12.75">
      <c r="D156" s="12"/>
      <c r="E156" s="12"/>
      <c r="F156" s="12"/>
      <c r="G156" s="12"/>
      <c r="H156" s="12"/>
      <c r="I156" s="12"/>
    </row>
    <row r="157" spans="4:9" ht="12.75">
      <c r="D157" s="12"/>
      <c r="E157" s="12"/>
      <c r="F157" s="12"/>
      <c r="G157" s="12"/>
      <c r="H157" s="12"/>
      <c r="I157" s="12"/>
    </row>
    <row r="158" spans="4:9" ht="12.75">
      <c r="D158" s="12"/>
      <c r="E158" s="12"/>
      <c r="F158" s="12"/>
      <c r="G158" s="12"/>
      <c r="H158" s="12"/>
      <c r="I158" s="12"/>
    </row>
    <row r="159" spans="4:9" ht="12.75">
      <c r="D159" s="12"/>
      <c r="E159" s="12"/>
      <c r="F159" s="12"/>
      <c r="G159" s="12"/>
      <c r="H159" s="12"/>
      <c r="I159" s="12"/>
    </row>
    <row r="160" spans="4:9" ht="12.75">
      <c r="D160" s="12"/>
      <c r="E160" s="12"/>
      <c r="F160" s="12"/>
      <c r="G160" s="12"/>
      <c r="H160" s="12"/>
      <c r="I160" s="12"/>
    </row>
    <row r="161" spans="4:9" ht="12.75">
      <c r="D161" s="12"/>
      <c r="E161" s="12"/>
      <c r="F161" s="12"/>
      <c r="G161" s="12"/>
      <c r="H161" s="12"/>
      <c r="I161" s="12"/>
    </row>
    <row r="162" spans="4:9" ht="12.75">
      <c r="D162" s="12"/>
      <c r="E162" s="12"/>
      <c r="F162" s="12"/>
      <c r="G162" s="12"/>
      <c r="H162" s="12"/>
      <c r="I162" s="12"/>
    </row>
    <row r="163" spans="4:9" ht="12.75">
      <c r="D163" s="12"/>
      <c r="E163" s="12"/>
      <c r="F163" s="12"/>
      <c r="G163" s="12"/>
      <c r="H163" s="12"/>
      <c r="I163" s="12"/>
    </row>
    <row r="164" spans="4:9" ht="12.75">
      <c r="D164" s="12"/>
      <c r="E164" s="12"/>
      <c r="F164" s="12"/>
      <c r="G164" s="12"/>
      <c r="H164" s="12"/>
      <c r="I164" s="12"/>
    </row>
    <row r="165" spans="4:9" ht="12.75">
      <c r="D165" s="12"/>
      <c r="E165" s="12"/>
      <c r="F165" s="12"/>
      <c r="G165" s="12"/>
      <c r="H165" s="12"/>
      <c r="I165" s="12"/>
    </row>
    <row r="166" spans="4:9" ht="12.75">
      <c r="D166" s="12"/>
      <c r="E166" s="12"/>
      <c r="F166" s="12"/>
      <c r="G166" s="12"/>
      <c r="H166" s="12"/>
      <c r="I166" s="12"/>
    </row>
    <row r="167" spans="4:9" ht="12.75">
      <c r="D167" s="12"/>
      <c r="E167" s="12"/>
      <c r="F167" s="12"/>
      <c r="G167" s="12"/>
      <c r="H167" s="12"/>
      <c r="I167" s="12"/>
    </row>
    <row r="168" spans="4:9" ht="12.75">
      <c r="D168" s="12"/>
      <c r="E168" s="12"/>
      <c r="F168" s="12"/>
      <c r="G168" s="12"/>
      <c r="H168" s="12"/>
      <c r="I168" s="12"/>
    </row>
    <row r="169" spans="4:9" ht="12.75">
      <c r="D169" s="12"/>
      <c r="E169" s="12"/>
      <c r="F169" s="12"/>
      <c r="G169" s="12"/>
      <c r="H169" s="12"/>
      <c r="I169" s="12"/>
    </row>
    <row r="170" spans="4:9" ht="12.75">
      <c r="D170" s="12"/>
      <c r="E170" s="12"/>
      <c r="F170" s="12"/>
      <c r="G170" s="12"/>
      <c r="H170" s="12"/>
      <c r="I170" s="12"/>
    </row>
    <row r="171" spans="4:9" ht="12.75">
      <c r="D171" s="12"/>
      <c r="E171" s="12"/>
      <c r="F171" s="12"/>
      <c r="G171" s="12"/>
      <c r="H171" s="12"/>
      <c r="I171" s="12"/>
    </row>
    <row r="172" spans="4:9" ht="12.75">
      <c r="D172" s="12"/>
      <c r="E172" s="12"/>
      <c r="F172" s="12"/>
      <c r="G172" s="12"/>
      <c r="H172" s="12"/>
      <c r="I172" s="12"/>
    </row>
    <row r="173" spans="4:9" ht="12.75">
      <c r="D173" s="12"/>
      <c r="E173" s="12"/>
      <c r="F173" s="12"/>
      <c r="G173" s="12"/>
      <c r="H173" s="12"/>
      <c r="I173" s="12"/>
    </row>
    <row r="174" spans="4:9" ht="12.75">
      <c r="D174" s="12"/>
      <c r="E174" s="12"/>
      <c r="F174" s="12"/>
      <c r="G174" s="12"/>
      <c r="H174" s="12"/>
      <c r="I174" s="12"/>
    </row>
    <row r="175" spans="4:9" ht="12.75">
      <c r="D175" s="12"/>
      <c r="E175" s="12"/>
      <c r="F175" s="12"/>
      <c r="G175" s="12"/>
      <c r="H175" s="12"/>
      <c r="I175" s="12"/>
    </row>
    <row r="176" spans="4:9" ht="12.75">
      <c r="D176" s="12"/>
      <c r="E176" s="12"/>
      <c r="F176" s="12"/>
      <c r="G176" s="12"/>
      <c r="H176" s="12"/>
      <c r="I176" s="12"/>
    </row>
    <row r="177" spans="4:9" ht="12.75">
      <c r="D177" s="12"/>
      <c r="E177" s="12"/>
      <c r="F177" s="12"/>
      <c r="G177" s="12"/>
      <c r="H177" s="12"/>
      <c r="I177" s="12"/>
    </row>
    <row r="178" spans="4:9" ht="12.75">
      <c r="D178" s="12"/>
      <c r="E178" s="12"/>
      <c r="F178" s="12"/>
      <c r="G178" s="12"/>
      <c r="H178" s="12"/>
      <c r="I178" s="12"/>
    </row>
    <row r="179" spans="4:9" ht="12.75">
      <c r="D179" s="12"/>
      <c r="E179" s="12"/>
      <c r="F179" s="12"/>
      <c r="G179" s="12"/>
      <c r="H179" s="12"/>
      <c r="I179" s="12"/>
    </row>
    <row r="180" spans="4:9" ht="12.75">
      <c r="D180" s="12"/>
      <c r="E180" s="12"/>
      <c r="F180" s="12"/>
      <c r="G180" s="12"/>
      <c r="H180" s="12"/>
      <c r="I180" s="12"/>
    </row>
    <row r="181" spans="4:9" ht="12.75">
      <c r="D181" s="12"/>
      <c r="E181" s="12"/>
      <c r="F181" s="12"/>
      <c r="G181" s="12"/>
      <c r="H181" s="12"/>
      <c r="I181" s="12"/>
    </row>
    <row r="182" spans="4:9" ht="12.75">
      <c r="D182" s="12"/>
      <c r="E182" s="12"/>
      <c r="F182" s="12"/>
      <c r="G182" s="12"/>
      <c r="H182" s="12"/>
      <c r="I182" s="12"/>
    </row>
    <row r="183" spans="4:9" ht="12.75">
      <c r="D183" s="12"/>
      <c r="E183" s="12"/>
      <c r="F183" s="12"/>
      <c r="G183" s="12"/>
      <c r="H183" s="12"/>
      <c r="I183" s="12"/>
    </row>
    <row r="184" spans="4:9" ht="12.75">
      <c r="D184" s="12"/>
      <c r="E184" s="12"/>
      <c r="F184" s="12"/>
      <c r="G184" s="12"/>
      <c r="H184" s="12"/>
      <c r="I184" s="12"/>
    </row>
    <row r="185" spans="4:9" ht="12.75">
      <c r="D185" s="12"/>
      <c r="E185" s="12"/>
      <c r="F185" s="12"/>
      <c r="G185" s="12"/>
      <c r="H185" s="12"/>
      <c r="I185" s="12"/>
    </row>
    <row r="186" spans="4:9" ht="12.75">
      <c r="D186" s="12"/>
      <c r="E186" s="12"/>
      <c r="F186" s="12"/>
      <c r="G186" s="12"/>
      <c r="H186" s="12"/>
      <c r="I186" s="12"/>
    </row>
    <row r="187" spans="4:9" ht="12.75">
      <c r="D187" s="12"/>
      <c r="E187" s="12"/>
      <c r="F187" s="12"/>
      <c r="G187" s="12"/>
      <c r="H187" s="12"/>
      <c r="I187" s="12"/>
    </row>
    <row r="188" spans="4:9" ht="12.75">
      <c r="D188" s="12"/>
      <c r="E188" s="12"/>
      <c r="F188" s="12"/>
      <c r="G188" s="12"/>
      <c r="H188" s="12"/>
      <c r="I188" s="12"/>
    </row>
    <row r="189" spans="4:9" ht="12.75">
      <c r="D189" s="12"/>
      <c r="E189" s="12"/>
      <c r="F189" s="12"/>
      <c r="G189" s="12"/>
      <c r="H189" s="12"/>
      <c r="I189" s="12"/>
    </row>
    <row r="190" spans="4:9" ht="12.75">
      <c r="D190" s="12"/>
      <c r="E190" s="12"/>
      <c r="F190" s="12"/>
      <c r="G190" s="12"/>
      <c r="H190" s="12"/>
      <c r="I190" s="12"/>
    </row>
    <row r="191" spans="4:9" ht="12.75">
      <c r="D191" s="12"/>
      <c r="E191" s="12"/>
      <c r="F191" s="12"/>
      <c r="G191" s="12"/>
      <c r="H191" s="12"/>
      <c r="I191" s="12"/>
    </row>
    <row r="192" spans="4:9" ht="12.75">
      <c r="D192" s="12"/>
      <c r="E192" s="12"/>
      <c r="F192" s="12"/>
      <c r="G192" s="12"/>
      <c r="H192" s="12"/>
      <c r="I192" s="12"/>
    </row>
    <row r="193" spans="4:9" ht="12.75">
      <c r="D193" s="12"/>
      <c r="E193" s="12"/>
      <c r="F193" s="12"/>
      <c r="G193" s="12"/>
      <c r="H193" s="12"/>
      <c r="I193" s="12"/>
    </row>
    <row r="194" spans="4:9" ht="12.75">
      <c r="D194" s="12"/>
      <c r="E194" s="12"/>
      <c r="F194" s="12"/>
      <c r="G194" s="12"/>
      <c r="H194" s="12"/>
      <c r="I194" s="12"/>
    </row>
    <row r="195" spans="4:9" ht="12.75">
      <c r="D195" s="12"/>
      <c r="E195" s="12"/>
      <c r="F195" s="12"/>
      <c r="G195" s="12"/>
      <c r="H195" s="12"/>
      <c r="I195" s="12"/>
    </row>
    <row r="196" spans="4:9" ht="12.75">
      <c r="D196" s="12"/>
      <c r="E196" s="12"/>
      <c r="F196" s="12"/>
      <c r="G196" s="12"/>
      <c r="H196" s="12"/>
      <c r="I196" s="12"/>
    </row>
    <row r="197" spans="4:9" ht="12.75">
      <c r="D197" s="12"/>
      <c r="E197" s="12"/>
      <c r="F197" s="12"/>
      <c r="G197" s="12"/>
      <c r="H197" s="12"/>
      <c r="I197" s="12"/>
    </row>
    <row r="198" spans="4:9" ht="12.75">
      <c r="D198" s="12"/>
      <c r="E198" s="12"/>
      <c r="F198" s="12"/>
      <c r="G198" s="12"/>
      <c r="H198" s="12"/>
      <c r="I198" s="12"/>
    </row>
    <row r="199" spans="4:9" ht="12.75">
      <c r="D199" s="12"/>
      <c r="E199" s="12"/>
      <c r="F199" s="12"/>
      <c r="G199" s="12"/>
      <c r="H199" s="12"/>
      <c r="I199" s="12"/>
    </row>
    <row r="200" spans="4:9" ht="12.75">
      <c r="D200" s="12"/>
      <c r="E200" s="12"/>
      <c r="F200" s="12"/>
      <c r="G200" s="12"/>
      <c r="H200" s="12"/>
      <c r="I200" s="12"/>
    </row>
    <row r="201" spans="4:9" ht="12.75">
      <c r="D201" s="12"/>
      <c r="E201" s="12"/>
      <c r="F201" s="12"/>
      <c r="G201" s="12"/>
      <c r="H201" s="12"/>
      <c r="I201" s="12"/>
    </row>
    <row r="202" spans="4:9" ht="12.75">
      <c r="D202" s="12"/>
      <c r="E202" s="12"/>
      <c r="F202" s="12"/>
      <c r="G202" s="12"/>
      <c r="H202" s="12"/>
      <c r="I202" s="12"/>
    </row>
    <row r="203" spans="4:9" ht="12.75">
      <c r="D203" s="12"/>
      <c r="E203" s="12"/>
      <c r="F203" s="12"/>
      <c r="G203" s="12"/>
      <c r="H203" s="12"/>
      <c r="I203" s="12"/>
    </row>
    <row r="204" spans="4:9" ht="12.75">
      <c r="D204" s="12"/>
      <c r="E204" s="12"/>
      <c r="F204" s="12"/>
      <c r="G204" s="12"/>
      <c r="H204" s="12"/>
      <c r="I204" s="12"/>
    </row>
  </sheetData>
  <sheetProtection/>
  <printOptions gridLines="1"/>
  <pageMargins left="0.75" right="0.75" top="1" bottom="1" header="0.5" footer="0.5"/>
  <pageSetup fitToHeight="1" fitToWidth="1" horizontalDpi="300" verticalDpi="300" orientation="landscape" paperSize="9" scale="56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ijf</dc:creator>
  <cp:keywords/>
  <dc:description/>
  <cp:lastModifiedBy>ian</cp:lastModifiedBy>
  <dcterms:created xsi:type="dcterms:W3CDTF">2003-06-24T07:58:53Z</dcterms:created>
  <dcterms:modified xsi:type="dcterms:W3CDTF">2011-12-28T21:40:50Z</dcterms:modified>
  <cp:category/>
  <cp:version/>
  <cp:contentType/>
  <cp:contentStatus/>
</cp:coreProperties>
</file>