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65506" windowWidth="4740" windowHeight="3405" firstSheet="4" activeTab="7"/>
  </bookViews>
  <sheets>
    <sheet name="Figure 5.2a pH-EC diagnosis" sheetId="1" r:id="rId1"/>
    <sheet name="Fig 5.2b pH-EC summary" sheetId="2" r:id="rId2"/>
    <sheet name="Fig 5.2c pH-EC open closed fin" sheetId="3" r:id="rId3"/>
    <sheet name="Fig 5.2d pH-EC evolution" sheetId="4" r:id="rId4"/>
    <sheet name="mix results pure" sheetId="5" r:id="rId5"/>
    <sheet name="waters used for modelling" sheetId="6" r:id="rId6"/>
    <sheet name="dcp chart" sheetId="7" r:id="rId7"/>
    <sheet name="all waters" sheetId="8" r:id="rId8"/>
  </sheets>
  <definedNames>
    <definedName name="_xlnm.Print_Area" localSheetId="7">'all waters'!$A$13:$AL$74</definedName>
  </definedNames>
  <calcPr fullCalcOnLoad="1"/>
</workbook>
</file>

<file path=xl/comments5.xml><?xml version="1.0" encoding="utf-8"?>
<comments xmlns="http://schemas.openxmlformats.org/spreadsheetml/2006/main">
  <authors>
    <author>ab876</author>
  </authors>
  <commentList>
    <comment ref="U1" authorId="0">
      <text>
        <r>
          <rPr>
            <b/>
            <sz val="8"/>
            <rFont val="Tahoma"/>
            <family val="2"/>
          </rPr>
          <t>leave these data as they are used as a dummy to plot the second x-axis</t>
        </r>
      </text>
    </comment>
    <comment ref="X37" authorId="0">
      <text>
        <r>
          <rPr>
            <b/>
            <sz val="8"/>
            <rFont val="Tahoma"/>
            <family val="2"/>
          </rPr>
          <t>actually 11, but this is a fitting error of the trend line</t>
        </r>
      </text>
    </comment>
    <comment ref="T3" authorId="0">
      <text>
        <r>
          <rPr>
            <b/>
            <sz val="8"/>
            <rFont val="Tahoma"/>
            <family val="2"/>
          </rPr>
          <t>+1</t>
        </r>
      </text>
    </comment>
  </commentList>
</comments>
</file>

<file path=xl/comments8.xml><?xml version="1.0" encoding="utf-8"?>
<comments xmlns="http://schemas.openxmlformats.org/spreadsheetml/2006/main">
  <authors>
    <author>Prof Ian J Fairchild</author>
  </authors>
  <commentList>
    <comment ref="AD2" authorId="0">
      <text>
        <r>
          <rPr>
            <b/>
            <sz val="8"/>
            <rFont val="Tahoma"/>
            <family val="2"/>
          </rPr>
          <t>Prof Ian J Fairchild:</t>
        </r>
        <r>
          <rPr>
            <sz val="8"/>
            <rFont val="Tahoma"/>
            <family val="2"/>
          </rPr>
          <t xml:space="preserve">
value modified by Hughes, S.G., Taylor, E.L., Wentzell, P.D., McCurdy, R.F. and Boss, R.K. 1994 Models of conductance measurement in quality assurance of water analysis. Analytical Chemistry 66, 830-835.</t>
        </r>
      </text>
    </comment>
    <comment ref="A1" authorId="0">
      <text>
        <r>
          <rPr>
            <b/>
            <sz val="8"/>
            <rFont val="Tahoma"/>
            <family val="2"/>
          </rPr>
          <t>Prof Ian J Fairchild:</t>
        </r>
        <r>
          <rPr>
            <sz val="8"/>
            <rFont val="Tahoma"/>
            <family val="2"/>
          </rPr>
          <t xml:space="preserve">
Kiely is a 1990s textbook which gives a simple formula for calculating conductivities.  The values are comparable with Rossum at conductivity values up to around 100 or so, but much above this they become inaccurate.</t>
        </r>
      </text>
    </comment>
    <comment ref="G3" authorId="0">
      <text>
        <r>
          <rPr>
            <b/>
            <sz val="12"/>
            <rFont val="Tahoma"/>
            <family val="2"/>
          </rPr>
          <t>Prof Ian J Fairchild:</t>
        </r>
        <r>
          <rPr>
            <sz val="1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Rossum, J.R. 1975 Checking the accuracy of water analyses through the use of conductivity. Journal of the American Water Wells Association, 67, 204-205.
This method is the recommended one.
Row 15 is the example Rossum uses in his paper and row 16 gives a dilute Icelandic water for comparison.</t>
        </r>
      </text>
    </comment>
    <comment ref="D14" authorId="0">
      <text>
        <r>
          <rPr>
            <b/>
            <sz val="8"/>
            <rFont val="Tahoma"/>
            <family val="2"/>
          </rPr>
          <t xml:space="preserve">Prof Ian J Fairchild: </t>
        </r>
        <r>
          <rPr>
            <sz val="8"/>
            <rFont val="Tahoma"/>
            <family val="2"/>
          </rPr>
          <t>Enter actual EC (if known) in column B and the pH in column C.  E</t>
        </r>
        <r>
          <rPr>
            <sz val="8"/>
            <rFont val="Tahoma"/>
            <family val="2"/>
          </rPr>
          <t>nter ion values in mg/litre in columns E to M.  Alkalinity is entered as meq/litre in  column Q.  Copy down the formulae in all the other columns up to AS and the calculations of charge balance (AH) and "sysnthetic (predicted) conductvity (AK) are complete.</t>
        </r>
      </text>
    </comment>
  </commentList>
</comments>
</file>

<file path=xl/sharedStrings.xml><?xml version="1.0" encoding="utf-8"?>
<sst xmlns="http://schemas.openxmlformats.org/spreadsheetml/2006/main" count="693" uniqueCount="390">
  <si>
    <t>Sample No.</t>
  </si>
  <si>
    <t>Chosen pH</t>
  </si>
  <si>
    <t>Na</t>
  </si>
  <si>
    <t>K</t>
  </si>
  <si>
    <t>Mg</t>
  </si>
  <si>
    <t>Ca</t>
  </si>
  <si>
    <t>Sr</t>
  </si>
  <si>
    <t>F</t>
  </si>
  <si>
    <t>Cl</t>
  </si>
  <si>
    <t>NO3</t>
  </si>
  <si>
    <t>PO4</t>
  </si>
  <si>
    <t>SO4</t>
  </si>
  <si>
    <t>HCO3</t>
  </si>
  <si>
    <t>CO3</t>
  </si>
  <si>
    <t>Alk expressed as mg HCO3/litre</t>
  </si>
  <si>
    <t>Alk value (meq/  litre)</t>
  </si>
  <si>
    <t>Sum cations</t>
  </si>
  <si>
    <t>Sum anions</t>
  </si>
  <si>
    <t>Absolute charge balance</t>
  </si>
  <si>
    <t>Charge balance %</t>
  </si>
  <si>
    <t>Sum charge</t>
  </si>
  <si>
    <t>Kiely factors</t>
  </si>
  <si>
    <t>EC</t>
  </si>
  <si>
    <r>
      <t>Rossum factors (</t>
    </r>
    <r>
      <rPr>
        <b/>
        <sz val="10"/>
        <rFont val="Symbol"/>
        <family val="1"/>
      </rPr>
      <t>z</t>
    </r>
    <r>
      <rPr>
        <b/>
        <sz val="10"/>
        <rFont val="Arial"/>
        <family val="2"/>
      </rPr>
      <t>)</t>
    </r>
  </si>
  <si>
    <r>
      <t xml:space="preserve">G = 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C -(K</t>
    </r>
    <r>
      <rPr>
        <vertAlign val="subscript"/>
        <sz val="10"/>
        <rFont val="Arial"/>
        <family val="2"/>
      </rPr>
      <t>1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+K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)C</t>
    </r>
    <r>
      <rPr>
        <vertAlign val="superscript"/>
        <sz val="10"/>
        <rFont val="Arial"/>
        <family val="2"/>
      </rPr>
      <t>1.5</t>
    </r>
  </si>
  <si>
    <t>Rossum equation (2)</t>
  </si>
  <si>
    <t>Rossum equation (3)</t>
  </si>
  <si>
    <t>Rossum equation (4)</t>
  </si>
  <si>
    <t>Rossum equation (5)</t>
  </si>
  <si>
    <t>Rossum equation (6)</t>
  </si>
  <si>
    <t>Rossum equation (7)</t>
  </si>
  <si>
    <t>Rossum equation (8)</t>
  </si>
  <si>
    <t>Rossum equation (9)</t>
  </si>
  <si>
    <t>Rossum equation (for Q)</t>
  </si>
  <si>
    <r>
      <t>Q =(Z</t>
    </r>
    <r>
      <rPr>
        <vertAlign val="subscript"/>
        <sz val="10"/>
        <rFont val="Arial"/>
        <family val="2"/>
      </rPr>
      <t>+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-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>)/(Z</t>
    </r>
    <r>
      <rPr>
        <vertAlign val="subscript"/>
        <sz val="10"/>
        <rFont val="Arial"/>
        <family val="2"/>
      </rPr>
      <t>+</t>
    </r>
    <r>
      <rPr>
        <sz val="10"/>
        <rFont val="Arial"/>
        <family val="0"/>
      </rPr>
      <t>+Z</t>
    </r>
    <r>
      <rPr>
        <vertAlign val="subscript"/>
        <sz val="10"/>
        <rFont val="Arial"/>
        <family val="2"/>
      </rPr>
      <t>-</t>
    </r>
    <r>
      <rPr>
        <sz val="10"/>
        <rFont val="Arial"/>
        <family val="0"/>
      </rPr>
      <t>)/(Z</t>
    </r>
    <r>
      <rPr>
        <vertAlign val="subscript"/>
        <sz val="10"/>
        <rFont val="Arial"/>
        <family val="2"/>
      </rPr>
      <t>+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-</t>
    </r>
    <r>
      <rPr>
        <sz val="10"/>
        <rFont val="Arial"/>
        <family val="0"/>
      </rPr>
      <t>+Z</t>
    </r>
    <r>
      <rPr>
        <vertAlign val="subscript"/>
        <sz val="10"/>
        <rFont val="Arial"/>
        <family val="2"/>
      </rPr>
      <t>-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+</t>
    </r>
    <r>
      <rPr>
        <sz val="10"/>
        <rFont val="Arial"/>
        <family val="0"/>
      </rPr>
      <t>)</t>
    </r>
  </si>
  <si>
    <r>
      <t>L</t>
    </r>
    <r>
      <rPr>
        <vertAlign val="subscript"/>
        <sz val="10"/>
        <rFont val="Arial"/>
        <family val="2"/>
      </rPr>
      <t xml:space="preserve">o </t>
    </r>
    <r>
      <rPr>
        <sz val="10"/>
        <rFont val="Arial"/>
        <family val="2"/>
      </rPr>
      <t>=</t>
    </r>
    <r>
      <rPr>
        <vertAlign val="subscript"/>
        <sz val="10"/>
        <rFont val="Arial"/>
        <family val="2"/>
      </rPr>
      <t xml:space="preserve"> 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 xml:space="preserve">+ </t>
    </r>
    <r>
      <rPr>
        <sz val="10"/>
        <rFont val="Arial"/>
        <family val="2"/>
      </rPr>
      <t>+</t>
    </r>
    <r>
      <rPr>
        <vertAlign val="subscript"/>
        <sz val="10"/>
        <rFont val="Arial"/>
        <family val="2"/>
      </rPr>
      <t xml:space="preserve"> 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 xml:space="preserve">- </t>
    </r>
  </si>
  <si>
    <r>
      <t>l</t>
    </r>
    <r>
      <rPr>
        <vertAlign val="subscript"/>
        <sz val="10"/>
        <rFont val="Arial"/>
        <family val="2"/>
      </rPr>
      <t>+</t>
    </r>
    <r>
      <rPr>
        <sz val="10"/>
        <rFont val="Arial"/>
        <family val="0"/>
      </rPr>
      <t xml:space="preserve"> = G</t>
    </r>
    <r>
      <rPr>
        <vertAlign val="subscript"/>
        <sz val="10"/>
        <rFont val="Arial"/>
        <family val="2"/>
      </rPr>
      <t>o+</t>
    </r>
    <r>
      <rPr>
        <sz val="10"/>
        <rFont val="Arial"/>
        <family val="0"/>
      </rPr>
      <t>/</t>
    </r>
    <r>
      <rPr>
        <sz val="10"/>
        <rFont val="Symbol"/>
        <family val="1"/>
      </rPr>
      <t>S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+</t>
    </r>
  </si>
  <si>
    <r>
      <t>l</t>
    </r>
    <r>
      <rPr>
        <vertAlign val="subscript"/>
        <sz val="10"/>
        <rFont val="Arial"/>
        <family val="2"/>
      </rPr>
      <t>-</t>
    </r>
    <r>
      <rPr>
        <sz val="10"/>
        <rFont val="Arial"/>
        <family val="0"/>
      </rPr>
      <t xml:space="preserve"> = G</t>
    </r>
    <r>
      <rPr>
        <vertAlign val="subscript"/>
        <sz val="10"/>
        <rFont val="Arial"/>
        <family val="2"/>
      </rPr>
      <t>o-</t>
    </r>
    <r>
      <rPr>
        <sz val="10"/>
        <rFont val="Arial"/>
        <family val="0"/>
      </rPr>
      <t>/</t>
    </r>
    <r>
      <rPr>
        <sz val="10"/>
        <rFont val="Symbol"/>
        <family val="1"/>
      </rPr>
      <t>S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-</t>
    </r>
  </si>
  <si>
    <r>
      <t>Z</t>
    </r>
    <r>
      <rPr>
        <vertAlign val="subscript"/>
        <sz val="10"/>
        <rFont val="Arial"/>
        <family val="2"/>
      </rPr>
      <t>+</t>
    </r>
    <r>
      <rPr>
        <sz val="10"/>
        <rFont val="Arial"/>
        <family val="0"/>
      </rPr>
      <t xml:space="preserve"> = </t>
    </r>
    <r>
      <rPr>
        <sz val="10"/>
        <rFont val="Symbol"/>
        <family val="1"/>
      </rPr>
      <t>S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+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+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</t>
    </r>
    <r>
      <rPr>
        <sz val="10"/>
        <rFont val="Symbol"/>
        <family val="1"/>
      </rPr>
      <t>S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+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+</t>
    </r>
  </si>
  <si>
    <r>
      <t>G</t>
    </r>
    <r>
      <rPr>
        <vertAlign val="subscript"/>
        <sz val="10"/>
        <rFont val="Arial"/>
        <family val="2"/>
      </rPr>
      <t xml:space="preserve">o- = </t>
    </r>
    <r>
      <rPr>
        <sz val="10"/>
        <rFont val="Symbol"/>
        <family val="1"/>
      </rPr>
      <t>S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-</t>
    </r>
    <r>
      <rPr>
        <sz val="10"/>
        <rFont val="Symbol"/>
        <family val="1"/>
      </rPr>
      <t>z</t>
    </r>
    <r>
      <rPr>
        <vertAlign val="subscript"/>
        <sz val="10"/>
        <rFont val="Arial"/>
        <family val="2"/>
      </rPr>
      <t>-</t>
    </r>
  </si>
  <si>
    <r>
      <t>G</t>
    </r>
    <r>
      <rPr>
        <vertAlign val="subscript"/>
        <sz val="10"/>
        <rFont val="Arial"/>
        <family val="2"/>
      </rPr>
      <t xml:space="preserve">o+ = </t>
    </r>
    <r>
      <rPr>
        <sz val="10"/>
        <rFont val="Symbol"/>
        <family val="1"/>
      </rPr>
      <t>S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+</t>
    </r>
    <r>
      <rPr>
        <sz val="10"/>
        <rFont val="Symbol"/>
        <family val="1"/>
      </rPr>
      <t>z</t>
    </r>
    <r>
      <rPr>
        <vertAlign val="subscript"/>
        <sz val="10"/>
        <rFont val="Arial"/>
        <family val="2"/>
      </rPr>
      <t>+</t>
    </r>
  </si>
  <si>
    <r>
      <t>G = G</t>
    </r>
    <r>
      <rPr>
        <vertAlign val="subscript"/>
        <sz val="10"/>
        <rFont val="Arial"/>
        <family val="2"/>
      </rPr>
      <t xml:space="preserve">o+ </t>
    </r>
    <r>
      <rPr>
        <sz val="10"/>
        <rFont val="Arial"/>
        <family val="0"/>
      </rPr>
      <t>+ G</t>
    </r>
    <r>
      <rPr>
        <vertAlign val="subscript"/>
        <sz val="10"/>
        <rFont val="Arial"/>
        <family val="2"/>
      </rPr>
      <t xml:space="preserve">o- </t>
    </r>
    <r>
      <rPr>
        <sz val="10"/>
        <rFont val="Arial"/>
        <family val="0"/>
      </rPr>
      <t>- (L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+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-</t>
    </r>
    <r>
      <rPr>
        <sz val="10"/>
        <rFont val="Arial"/>
        <family val="0"/>
      </rPr>
      <t>/115.2(Z</t>
    </r>
    <r>
      <rPr>
        <vertAlign val="subscript"/>
        <sz val="10"/>
        <rFont val="Arial"/>
        <family val="2"/>
      </rPr>
      <t>+</t>
    </r>
    <r>
      <rPr>
        <sz val="10"/>
        <rFont val="Arial"/>
        <family val="0"/>
      </rPr>
      <t>+Z</t>
    </r>
    <r>
      <rPr>
        <vertAlign val="subscript"/>
        <sz val="10"/>
        <rFont val="Arial"/>
        <family val="2"/>
      </rPr>
      <t>-</t>
    </r>
    <r>
      <rPr>
        <sz val="10"/>
        <rFont val="Arial"/>
        <family val="0"/>
      </rPr>
      <t>) * (2Q/(1+Q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0"/>
      </rPr>
      <t>)) + 0.668)  *  (Z</t>
    </r>
    <r>
      <rPr>
        <vertAlign val="subscript"/>
        <sz val="10"/>
        <rFont val="Arial"/>
        <family val="2"/>
      </rPr>
      <t>+</t>
    </r>
    <r>
      <rPr>
        <sz val="10"/>
        <rFont val="Arial"/>
        <family val="0"/>
      </rPr>
      <t>+Z</t>
    </r>
    <r>
      <rPr>
        <vertAlign val="subscript"/>
        <sz val="10"/>
        <rFont val="Arial"/>
        <family val="2"/>
      </rPr>
      <t>-</t>
    </r>
    <r>
      <rPr>
        <sz val="10"/>
        <rFont val="Arial"/>
        <family val="0"/>
      </rPr>
      <t>)*C)</t>
    </r>
    <r>
      <rPr>
        <vertAlign val="superscript"/>
        <sz val="10"/>
        <rFont val="Arial"/>
        <family val="2"/>
      </rPr>
      <t>1.5</t>
    </r>
  </si>
  <si>
    <t>Rossum equation (1) = (9)</t>
  </si>
  <si>
    <t>Synthetic EC (Kiely)</t>
  </si>
  <si>
    <t>Q</t>
  </si>
  <si>
    <r>
      <t>Z</t>
    </r>
    <r>
      <rPr>
        <vertAlign val="subscript"/>
        <sz val="10"/>
        <rFont val="Arial"/>
        <family val="2"/>
      </rPr>
      <t>-</t>
    </r>
    <r>
      <rPr>
        <sz val="10"/>
        <rFont val="Arial"/>
        <family val="0"/>
      </rPr>
      <t xml:space="preserve"> = </t>
    </r>
    <r>
      <rPr>
        <sz val="10"/>
        <rFont val="Symbol"/>
        <family val="1"/>
      </rPr>
      <t>S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-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-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</t>
    </r>
    <r>
      <rPr>
        <sz val="10"/>
        <rFont val="Symbol"/>
        <family val="1"/>
      </rPr>
      <t>S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-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-</t>
    </r>
  </si>
  <si>
    <t>where C = mean  of sum of anions and sum of cations</t>
  </si>
  <si>
    <t>meq/litre</t>
  </si>
  <si>
    <t>Hughes et al (1994)</t>
  </si>
  <si>
    <t>Na (mg/litre)</t>
  </si>
  <si>
    <t>karst 1</t>
  </si>
  <si>
    <t>karst 2</t>
  </si>
  <si>
    <t>karst 3</t>
  </si>
  <si>
    <t>karst 4</t>
  </si>
  <si>
    <t>karst 5</t>
  </si>
  <si>
    <t>karst 6</t>
  </si>
  <si>
    <t>karst 7</t>
  </si>
  <si>
    <t>karst 8</t>
  </si>
  <si>
    <t>karst 9</t>
  </si>
  <si>
    <t>karst 10</t>
  </si>
  <si>
    <t>karst 11</t>
  </si>
  <si>
    <t>karst 12</t>
  </si>
  <si>
    <t>karst 13</t>
  </si>
  <si>
    <t>karst 14</t>
  </si>
  <si>
    <t>CTOT mg/litre</t>
  </si>
  <si>
    <t>EC observed</t>
  </si>
  <si>
    <t>Synthetic (predicted) EC (Rossum)</t>
  </si>
  <si>
    <t>karst 15</t>
  </si>
  <si>
    <t>karst 16</t>
  </si>
  <si>
    <t>karst 17</t>
  </si>
  <si>
    <t>karst 18</t>
  </si>
  <si>
    <t>karst 19</t>
  </si>
  <si>
    <t>karst 20</t>
  </si>
  <si>
    <t>karst 21</t>
  </si>
  <si>
    <t>karst 22</t>
  </si>
  <si>
    <t>karst 23</t>
  </si>
  <si>
    <t>karst 24</t>
  </si>
  <si>
    <t>karst 25</t>
  </si>
  <si>
    <t>karst 26</t>
  </si>
  <si>
    <t>karst 27</t>
  </si>
  <si>
    <t>karst 28</t>
  </si>
  <si>
    <t>karst 29</t>
  </si>
  <si>
    <t>karst 30</t>
  </si>
  <si>
    <t>karst 31</t>
  </si>
  <si>
    <t>karst 32</t>
  </si>
  <si>
    <t>karst 33</t>
  </si>
  <si>
    <t>karst 34</t>
  </si>
  <si>
    <t>karst 35</t>
  </si>
  <si>
    <t>karst 36</t>
  </si>
  <si>
    <t>karst 37</t>
  </si>
  <si>
    <t>karst 38</t>
  </si>
  <si>
    <t>karst 39</t>
  </si>
  <si>
    <t>karst 40</t>
  </si>
  <si>
    <t>karst 41</t>
  </si>
  <si>
    <t>karst 42</t>
  </si>
  <si>
    <t>karst 43</t>
  </si>
  <si>
    <t>karst 44</t>
  </si>
  <si>
    <t>karst 45</t>
  </si>
  <si>
    <t>karst 46</t>
  </si>
  <si>
    <t>karst 47</t>
  </si>
  <si>
    <t>karst 48</t>
  </si>
  <si>
    <t>karst 49</t>
  </si>
  <si>
    <t>karst 50</t>
  </si>
  <si>
    <t>karst 51</t>
  </si>
  <si>
    <t>karst 52</t>
  </si>
  <si>
    <t>karst 53</t>
  </si>
  <si>
    <t>karst 54</t>
  </si>
  <si>
    <t>karst 55</t>
  </si>
  <si>
    <t>karst 56</t>
  </si>
  <si>
    <r>
      <t>L</t>
    </r>
    <r>
      <rPr>
        <b/>
        <vertAlign val="subscript"/>
        <sz val="8"/>
        <rFont val="Arial"/>
        <family val="2"/>
      </rPr>
      <t>o</t>
    </r>
  </si>
  <si>
    <r>
      <t>l</t>
    </r>
    <r>
      <rPr>
        <b/>
        <vertAlign val="subscript"/>
        <sz val="8"/>
        <rFont val="Arial"/>
        <family val="2"/>
      </rPr>
      <t>+</t>
    </r>
  </si>
  <si>
    <r>
      <t>l</t>
    </r>
    <r>
      <rPr>
        <b/>
        <vertAlign val="subscript"/>
        <sz val="8"/>
        <rFont val="Arial"/>
        <family val="2"/>
      </rPr>
      <t>-</t>
    </r>
  </si>
  <si>
    <r>
      <t>Z</t>
    </r>
    <r>
      <rPr>
        <b/>
        <vertAlign val="subscript"/>
        <sz val="8"/>
        <rFont val="Arial"/>
        <family val="2"/>
      </rPr>
      <t>+</t>
    </r>
  </si>
  <si>
    <r>
      <t>Z</t>
    </r>
    <r>
      <rPr>
        <b/>
        <vertAlign val="subscript"/>
        <sz val="8"/>
        <rFont val="Arial"/>
        <family val="2"/>
      </rPr>
      <t>-</t>
    </r>
  </si>
  <si>
    <r>
      <t>G</t>
    </r>
    <r>
      <rPr>
        <b/>
        <vertAlign val="subscript"/>
        <sz val="8"/>
        <rFont val="Arial"/>
        <family val="2"/>
      </rPr>
      <t>o+</t>
    </r>
  </si>
  <si>
    <r>
      <t>G</t>
    </r>
    <r>
      <rPr>
        <b/>
        <vertAlign val="subscript"/>
        <sz val="8"/>
        <rFont val="Arial"/>
        <family val="2"/>
      </rPr>
      <t>o-</t>
    </r>
  </si>
  <si>
    <t>pH</t>
  </si>
  <si>
    <t>-logPCO2</t>
  </si>
  <si>
    <t>karst1a</t>
  </si>
  <si>
    <t>karst1b</t>
  </si>
  <si>
    <t>karst1c</t>
  </si>
  <si>
    <t>karst1d</t>
  </si>
  <si>
    <t>karst1e</t>
  </si>
  <si>
    <t>karst1f</t>
  </si>
  <si>
    <t>karst1g</t>
  </si>
  <si>
    <t>karst1h</t>
  </si>
  <si>
    <t>karst1i</t>
  </si>
  <si>
    <t>karstij</t>
  </si>
  <si>
    <t>karsti1k</t>
  </si>
  <si>
    <t>karst1l</t>
  </si>
  <si>
    <t>karst1m</t>
  </si>
  <si>
    <t>karst56a</t>
  </si>
  <si>
    <t>karst56b</t>
  </si>
  <si>
    <t>karst56c</t>
  </si>
  <si>
    <t>karst56d</t>
  </si>
  <si>
    <t>karst31a</t>
  </si>
  <si>
    <t>karst31b</t>
  </si>
  <si>
    <t>karst31c</t>
  </si>
  <si>
    <t>karst31d</t>
  </si>
  <si>
    <t>karst31e</t>
  </si>
  <si>
    <t>karst31f</t>
  </si>
  <si>
    <t>karst31g</t>
  </si>
  <si>
    <t>karst31h</t>
  </si>
  <si>
    <t>karst31i</t>
  </si>
  <si>
    <t>karst31j</t>
  </si>
  <si>
    <t>karst31k</t>
  </si>
  <si>
    <t>karst0</t>
  </si>
  <si>
    <t>karst0h</t>
  </si>
  <si>
    <t>karst8a</t>
  </si>
  <si>
    <t>karst8b</t>
  </si>
  <si>
    <t>karst8c</t>
  </si>
  <si>
    <t>karst8d</t>
  </si>
  <si>
    <t>karst8e</t>
  </si>
  <si>
    <t>+step 0.000016</t>
  </si>
  <si>
    <t>+step 0.000029</t>
  </si>
  <si>
    <t>+step 0.00004</t>
  </si>
  <si>
    <t>+step 0.000049</t>
  </si>
  <si>
    <t>+step 0.0000575</t>
  </si>
  <si>
    <t>+step 0.000065</t>
  </si>
  <si>
    <t>+step 0.000073</t>
  </si>
  <si>
    <t>=step 0.000026</t>
  </si>
  <si>
    <t>=step 0.000046</t>
  </si>
  <si>
    <t>=step 0.000062</t>
  </si>
  <si>
    <t>=step 0.000075</t>
  </si>
  <si>
    <t>=step 0.000085</t>
  </si>
  <si>
    <t>=step 0.000093</t>
  </si>
  <si>
    <t>=step 0.0001</t>
  </si>
  <si>
    <t>=step 0.000105</t>
  </si>
  <si>
    <t>=step 0.0001095</t>
  </si>
  <si>
    <t>+step 0.0001</t>
  </si>
  <si>
    <t>+step 0.0003</t>
  </si>
  <si>
    <t>+step 0.000055</t>
  </si>
  <si>
    <t>+step 0.00021</t>
  </si>
  <si>
    <t>+step 0.00006</t>
  </si>
  <si>
    <t>+step 0.00007</t>
  </si>
  <si>
    <t>+step 0.00011</t>
  </si>
  <si>
    <t>karst51</t>
  </si>
  <si>
    <t>+step 0.000085</t>
  </si>
  <si>
    <t>+step 0.000087</t>
  </si>
  <si>
    <t>+step 0.00019</t>
  </si>
  <si>
    <t>+step 0.00032</t>
  </si>
  <si>
    <t>+step 0.00045</t>
  </si>
  <si>
    <t>+step 0.00049</t>
  </si>
  <si>
    <t>+step 0.0007</t>
  </si>
  <si>
    <t>+step 0.00094</t>
  </si>
  <si>
    <t>+step 0.000135</t>
  </si>
  <si>
    <t>+step 0.000188</t>
  </si>
  <si>
    <t>+step 0.000235</t>
  </si>
  <si>
    <t>+step 0.00028</t>
  </si>
  <si>
    <t>karst46</t>
  </si>
  <si>
    <t>+step 0.000075</t>
  </si>
  <si>
    <t>+step 0.000175</t>
  </si>
  <si>
    <t>+step 0.000066</t>
  </si>
  <si>
    <t>+step 0.000123</t>
  </si>
  <si>
    <t>+step 0.00017</t>
  </si>
  <si>
    <t>+step 0.00025</t>
  </si>
  <si>
    <t>+step 0.00029</t>
  </si>
  <si>
    <t>karst37</t>
  </si>
  <si>
    <t>+step 0.000145</t>
  </si>
  <si>
    <t>+step 0.00037</t>
  </si>
  <si>
    <t>+step 0.000052</t>
  </si>
  <si>
    <t>+step 0.000137</t>
  </si>
  <si>
    <t>+step 0.000203</t>
  </si>
  <si>
    <t>+step 0.000234</t>
  </si>
  <si>
    <t>+step 0.000266</t>
  </si>
  <si>
    <t>karst24</t>
  </si>
  <si>
    <t>+step 0.000045</t>
  </si>
  <si>
    <t>+step 0.000035</t>
  </si>
  <si>
    <t>+step 0.000094</t>
  </si>
  <si>
    <t>+step 0.000115</t>
  </si>
  <si>
    <t>+step 0.000156</t>
  </si>
  <si>
    <t>+step 0.000196</t>
  </si>
  <si>
    <t>+step 0.000218</t>
  </si>
  <si>
    <t>karst14</t>
  </si>
  <si>
    <t>+step 0.00003</t>
  </si>
  <si>
    <t>+step 0.000108</t>
  </si>
  <si>
    <t>+step 0.000163</t>
  </si>
  <si>
    <t>+step 0.00043</t>
  </si>
  <si>
    <t>+step 0.000024</t>
  </si>
  <si>
    <t>+step 0.000043</t>
  </si>
  <si>
    <t>+step 0.000074</t>
  </si>
  <si>
    <t>+step 0.000099</t>
  </si>
  <si>
    <t>+step 0.000122</t>
  </si>
  <si>
    <t>Sic</t>
  </si>
  <si>
    <t>corr Sic</t>
  </si>
  <si>
    <t>+step 0.0014</t>
  </si>
  <si>
    <t>carb-free</t>
  </si>
  <si>
    <t>"Pure" series</t>
  </si>
  <si>
    <t>SALTY SERIES</t>
  </si>
  <si>
    <t>PURE SERIES</t>
  </si>
  <si>
    <t>karst 57</t>
  </si>
  <si>
    <t>karst 58</t>
  </si>
  <si>
    <t>karst 59</t>
  </si>
  <si>
    <t>karst 60</t>
  </si>
  <si>
    <t>karst 61</t>
  </si>
  <si>
    <t>karst 62</t>
  </si>
  <si>
    <t>karst 63</t>
  </si>
  <si>
    <t>karst 64</t>
  </si>
  <si>
    <t>karst 65</t>
  </si>
  <si>
    <t>karst 66</t>
  </si>
  <si>
    <t>karst 67</t>
  </si>
  <si>
    <t>karst 68</t>
  </si>
  <si>
    <t>karst 69</t>
  </si>
  <si>
    <t>karst 70</t>
  </si>
  <si>
    <t>karst 71</t>
  </si>
  <si>
    <t>karst 72</t>
  </si>
  <si>
    <t>karst 73</t>
  </si>
  <si>
    <t>karst 74</t>
  </si>
  <si>
    <t>karst 75</t>
  </si>
  <si>
    <t>karst 76</t>
  </si>
  <si>
    <t>karst 77</t>
  </si>
  <si>
    <t>karst 78</t>
  </si>
  <si>
    <t>karst 79</t>
  </si>
  <si>
    <t>karst 80</t>
  </si>
  <si>
    <t>karst 81</t>
  </si>
  <si>
    <t>karst 82</t>
  </si>
  <si>
    <t>karst 83</t>
  </si>
  <si>
    <t>karst 84</t>
  </si>
  <si>
    <t>karst 85</t>
  </si>
  <si>
    <t>karst 86</t>
  </si>
  <si>
    <t>karst 87</t>
  </si>
  <si>
    <t>karst 88</t>
  </si>
  <si>
    <t>karst 89</t>
  </si>
  <si>
    <t>karst 90</t>
  </si>
  <si>
    <t>karst 91</t>
  </si>
  <si>
    <t>karst 92</t>
  </si>
  <si>
    <t>karst 93</t>
  </si>
  <si>
    <t>karst 94</t>
  </si>
  <si>
    <t>karst 95</t>
  </si>
  <si>
    <t>karst 96</t>
  </si>
  <si>
    <t>karst 97</t>
  </si>
  <si>
    <t>karst 98</t>
  </si>
  <si>
    <t>karst 99</t>
  </si>
  <si>
    <t>karst 100</t>
  </si>
  <si>
    <t>karst 101</t>
  </si>
  <si>
    <t>karst 102</t>
  </si>
  <si>
    <t>karst 103</t>
  </si>
  <si>
    <t>Ca+Mg</t>
  </si>
  <si>
    <t>=+step</t>
  </si>
  <si>
    <t>=+step 0.00015</t>
  </si>
  <si>
    <t>=+step .00023</t>
  </si>
  <si>
    <t>=+step .00114</t>
  </si>
  <si>
    <t>+step 0.0015</t>
  </si>
  <si>
    <t>+step 0.00152</t>
  </si>
  <si>
    <t>+step 0.00153</t>
  </si>
  <si>
    <t>+step 0.00044</t>
  </si>
  <si>
    <t>+step 0.00161</t>
  </si>
  <si>
    <t>+step 0.00172</t>
  </si>
  <si>
    <t>+step 0.0052</t>
  </si>
  <si>
    <t>+step 0.0057</t>
  </si>
  <si>
    <t>+step 0.00038</t>
  </si>
  <si>
    <t>+step 0.00048</t>
  </si>
  <si>
    <t>+step 0.00155</t>
  </si>
  <si>
    <t>+step 0.00185</t>
  </si>
  <si>
    <t>+step 0.00034</t>
  </si>
  <si>
    <t>+step 0.00035</t>
  </si>
  <si>
    <t>+step 0.00095</t>
  </si>
  <si>
    <t>+step 0.0034</t>
  </si>
  <si>
    <t>+step 0.000165</t>
  </si>
  <si>
    <t>+step 0.00031</t>
  </si>
  <si>
    <t>+step 0.00148</t>
  </si>
  <si>
    <t>+step 0.00159</t>
  </si>
  <si>
    <t>+step 0.0051</t>
  </si>
  <si>
    <t>+step 0.0055</t>
  </si>
  <si>
    <t>+step 0.00072</t>
  </si>
  <si>
    <t>+step 0.00145</t>
  </si>
  <si>
    <t>+step 0.0029</t>
  </si>
  <si>
    <t>+step 0.097</t>
  </si>
  <si>
    <t>+step 0.017</t>
  </si>
  <si>
    <t>karst68a</t>
  </si>
  <si>
    <t>=+step 0.00047</t>
  </si>
  <si>
    <t>=+step 0.00133</t>
  </si>
  <si>
    <t>=+step 0.0023</t>
  </si>
  <si>
    <t>=+step 0.005</t>
  </si>
  <si>
    <t>=+step 0.0265</t>
  </si>
  <si>
    <t>=+step 0.0082</t>
  </si>
  <si>
    <t>=-step 0.00017</t>
  </si>
  <si>
    <t>=-step 0.00029</t>
  </si>
  <si>
    <t>karst 85a</t>
  </si>
  <si>
    <t>=-step 0.00005</t>
  </si>
  <si>
    <t>=+step 0.00008</t>
  </si>
  <si>
    <t>=+step 0.00093</t>
  </si>
  <si>
    <t>=+step 0.00127</t>
  </si>
  <si>
    <t>=+step 0.0039</t>
  </si>
  <si>
    <t>=+step 0.0049</t>
  </si>
  <si>
    <t>=+step 0.0133</t>
  </si>
  <si>
    <t>=+step 0.043</t>
  </si>
  <si>
    <t>karst 102a</t>
  </si>
  <si>
    <t>=step - 0.00001</t>
  </si>
  <si>
    <t>=step+ 0.00014</t>
  </si>
  <si>
    <t>=step+ 0.00121</t>
  </si>
  <si>
    <t>=step+ 0.00165</t>
  </si>
  <si>
    <t>=step+ 0.0049</t>
  </si>
  <si>
    <t>=step+ 0.0063</t>
  </si>
  <si>
    <t>=step+ 0.021</t>
  </si>
  <si>
    <t>=step+ 0.068</t>
  </si>
  <si>
    <t>Ca+Mg meq</t>
  </si>
  <si>
    <t>Ca+Mg mmol</t>
  </si>
  <si>
    <t>Dissolution in pure water: Initial -logPCO2 = 2</t>
  </si>
  <si>
    <t>PH</t>
  </si>
  <si>
    <t>ALK</t>
  </si>
  <si>
    <t>CO2TOT</t>
  </si>
  <si>
    <t>PPCO2</t>
  </si>
  <si>
    <t>TEMP</t>
  </si>
  <si>
    <t>CALCITE</t>
  </si>
  <si>
    <t>ARAGONIT</t>
  </si>
  <si>
    <t>MAGNESIT</t>
  </si>
  <si>
    <t>DOLOMITE</t>
  </si>
  <si>
    <t>GYPSUM</t>
  </si>
  <si>
    <t>CATOT</t>
  </si>
  <si>
    <t>MGTOT</t>
  </si>
  <si>
    <t>NATOT</t>
  </si>
  <si>
    <t>KTOT</t>
  </si>
  <si>
    <t>CLTOT</t>
  </si>
  <si>
    <t>SO4TOT</t>
  </si>
  <si>
    <t>Dissolution in pure water: Initial -logPCO2 = 3.4</t>
  </si>
  <si>
    <t>Dissolution in pure water: Initial -logPCO2 = 3.0</t>
  </si>
  <si>
    <t>Dissolution in pure water: Initial -logPCO2 = 2.5</t>
  </si>
  <si>
    <t>Dissolution in pure water: Initial -logPCO2 = 1.5</t>
  </si>
  <si>
    <t>Dissolution in pure water: Initial -logPCO2 = 1</t>
  </si>
  <si>
    <t>calc</t>
  </si>
  <si>
    <t>Ca+Mg (mol)</t>
  </si>
  <si>
    <t>-step .000054</t>
  </si>
  <si>
    <t>-step .00041</t>
  </si>
  <si>
    <t>from graph</t>
  </si>
  <si>
    <t>EC corr</t>
  </si>
  <si>
    <t>karst00a</t>
  </si>
  <si>
    <t>karst00</t>
  </si>
  <si>
    <t>step 0.0001</t>
  </si>
  <si>
    <t>step 0.000132</t>
  </si>
  <si>
    <t>Used molar stoichiometry Ca 1, Mg 0.03, CO3 6.3 in closed system dissolution simulations</t>
  </si>
  <si>
    <t>Calculations on the relative C sources from solution at calcite saturation</t>
  </si>
  <si>
    <t>water</t>
  </si>
  <si>
    <t>logPCO2</t>
  </si>
  <si>
    <t>Moles (Ca+Mg)</t>
  </si>
  <si>
    <t>CTOT</t>
  </si>
  <si>
    <t>dcp</t>
  </si>
  <si>
    <t>kar8sat</t>
  </si>
  <si>
    <t>kar14sat</t>
  </si>
  <si>
    <t>kar24sat</t>
  </si>
  <si>
    <t>31++</t>
  </si>
  <si>
    <t>37++</t>
  </si>
  <si>
    <t>46++</t>
  </si>
  <si>
    <t>kar51sat</t>
  </si>
  <si>
    <t>51karsat</t>
  </si>
  <si>
    <t>56++</t>
  </si>
  <si>
    <t>68++</t>
  </si>
  <si>
    <t>85a++</t>
  </si>
  <si>
    <t>102sat</t>
  </si>
  <si>
    <t>PCO2 at sat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</si>
</sst>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  <numFmt numFmtId="171" formatCode="0.0000"/>
    <numFmt numFmtId="172" formatCode="0.000000000"/>
    <numFmt numFmtId="173" formatCode="0.00000"/>
    <numFmt numFmtId="174" formatCode="0.000"/>
    <numFmt numFmtId="175" formatCode="0.00000000"/>
    <numFmt numFmtId="176" formatCode="0.0000000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7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Symbol"/>
      <family val="1"/>
    </font>
    <font>
      <b/>
      <vertAlign val="subscript"/>
      <sz val="8"/>
      <name val="Arial"/>
      <family val="2"/>
    </font>
    <font>
      <i/>
      <sz val="10"/>
      <name val="Arial"/>
      <family val="2"/>
    </font>
    <font>
      <sz val="16"/>
      <color indexed="8"/>
      <name val="Arial"/>
      <family val="0"/>
    </font>
    <font>
      <sz val="15.75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vertAlign val="superscript"/>
      <sz val="10.2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vertAlign val="superscript"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8"/>
      <name val="Arial"/>
      <family val="0"/>
    </font>
    <font>
      <vertAlign val="superscript"/>
      <sz val="16"/>
      <color indexed="18"/>
      <name val="Arial"/>
      <family val="0"/>
    </font>
    <font>
      <sz val="16"/>
      <color indexed="16"/>
      <name val="Arial"/>
      <family val="0"/>
    </font>
    <font>
      <sz val="15.05"/>
      <color indexed="8"/>
      <name val="Arial"/>
      <family val="0"/>
    </font>
    <font>
      <sz val="14"/>
      <color indexed="18"/>
      <name val="Arial"/>
      <family val="0"/>
    </font>
    <font>
      <vertAlign val="subscript"/>
      <sz val="16"/>
      <color indexed="18"/>
      <name val="Arial"/>
      <family val="0"/>
    </font>
    <font>
      <vertAlign val="superscript"/>
      <sz val="16"/>
      <color indexed="8"/>
      <name val="Arial"/>
      <family val="0"/>
    </font>
    <font>
      <sz val="36"/>
      <color indexed="8"/>
      <name val="Arial"/>
      <family val="0"/>
    </font>
    <font>
      <sz val="15.25"/>
      <color indexed="8"/>
      <name val="Arial"/>
      <family val="0"/>
    </font>
    <font>
      <vertAlign val="superscript"/>
      <sz val="15.25"/>
      <color indexed="8"/>
      <name val="Arial"/>
      <family val="0"/>
    </font>
    <font>
      <sz val="18"/>
      <color indexed="8"/>
      <name val="Arial"/>
      <family val="0"/>
    </font>
    <font>
      <vertAlign val="subscript"/>
      <sz val="18"/>
      <color indexed="8"/>
      <name val="Arial"/>
      <family val="0"/>
    </font>
    <font>
      <sz val="16.75"/>
      <color indexed="8"/>
      <name val="Arial"/>
      <family val="0"/>
    </font>
    <font>
      <sz val="16.75"/>
      <color indexed="8"/>
      <name val="Symbol"/>
      <family val="0"/>
    </font>
    <font>
      <vertAlign val="superscript"/>
      <sz val="16.75"/>
      <color indexed="8"/>
      <name val="Arial"/>
      <family val="0"/>
    </font>
    <font>
      <sz val="16.75"/>
      <color indexed="18"/>
      <name val="Arial"/>
      <family val="0"/>
    </font>
    <font>
      <vertAlign val="superscript"/>
      <sz val="16.75"/>
      <color indexed="18"/>
      <name val="Arial"/>
      <family val="0"/>
    </font>
    <font>
      <sz val="15.75"/>
      <color indexed="8"/>
      <name val="Symbol"/>
      <family val="0"/>
    </font>
    <font>
      <vertAlign val="superscript"/>
      <sz val="15.75"/>
      <color indexed="8"/>
      <name val="Arial"/>
      <family val="0"/>
    </font>
    <font>
      <sz val="15.75"/>
      <color indexed="18"/>
      <name val="Arial"/>
      <family val="0"/>
    </font>
    <font>
      <vertAlign val="superscript"/>
      <sz val="15.75"/>
      <color indexed="18"/>
      <name val="Arial"/>
      <family val="0"/>
    </font>
    <font>
      <sz val="15.75"/>
      <color indexed="16"/>
      <name val="Arial"/>
      <family val="0"/>
    </font>
    <font>
      <sz val="23.25"/>
      <color indexed="8"/>
      <name val="Arial"/>
      <family val="0"/>
    </font>
    <font>
      <sz val="25.5"/>
      <color indexed="8"/>
      <name val="Arial"/>
      <family val="0"/>
    </font>
    <font>
      <b/>
      <sz val="10.25"/>
      <color indexed="8"/>
      <name val="Arial"/>
      <family val="0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b/>
      <vertAlign val="subscript"/>
      <sz val="16"/>
      <color indexed="8"/>
      <name val="Arial"/>
      <family val="0"/>
    </font>
    <font>
      <sz val="11"/>
      <name val="Calibri"/>
      <family val="0"/>
    </font>
    <font>
      <sz val="10"/>
      <color indexed="8"/>
      <name val="Symbo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 quotePrefix="1">
      <alignment wrapText="1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0" fillId="0" borderId="10" xfId="0" applyFont="1" applyBorder="1" applyAlignment="1">
      <alignment horizontal="center" wrapText="1"/>
    </xf>
    <xf numFmtId="2" fontId="10" fillId="0" borderId="0" xfId="0" applyNumberFormat="1" applyFont="1" applyAlignment="1">
      <alignment wrapText="1"/>
    </xf>
    <xf numFmtId="0" fontId="10" fillId="0" borderId="10" xfId="0" applyFont="1" applyBorder="1" applyAlignment="1">
      <alignment wrapText="1"/>
    </xf>
    <xf numFmtId="170" fontId="10" fillId="0" borderId="10" xfId="0" applyNumberFormat="1" applyFont="1" applyBorder="1" applyAlignment="1">
      <alignment wrapText="1"/>
    </xf>
    <xf numFmtId="2" fontId="10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quotePrefix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170" fontId="10" fillId="0" borderId="0" xfId="0" applyNumberFormat="1" applyFont="1" applyBorder="1" applyAlignment="1">
      <alignment wrapText="1"/>
    </xf>
    <xf numFmtId="2" fontId="10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/>
    </xf>
    <xf numFmtId="170" fontId="0" fillId="33" borderId="0" xfId="0" applyNumberFormat="1" applyFill="1" applyAlignment="1">
      <alignment/>
    </xf>
    <xf numFmtId="0" fontId="1" fillId="33" borderId="0" xfId="0" applyFont="1" applyFill="1" applyAlignment="1">
      <alignment/>
    </xf>
    <xf numFmtId="2" fontId="11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2" fontId="0" fillId="33" borderId="0" xfId="0" applyNumberFormat="1" applyFill="1" applyAlignment="1">
      <alignment/>
    </xf>
    <xf numFmtId="2" fontId="10" fillId="33" borderId="0" xfId="0" applyNumberFormat="1" applyFont="1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33" borderId="0" xfId="0" applyNumberFormat="1" applyFill="1" applyAlignment="1" quotePrefix="1">
      <alignment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0" fontId="11" fillId="0" borderId="0" xfId="0" applyFont="1" applyAlignment="1" quotePrefix="1">
      <alignment/>
    </xf>
    <xf numFmtId="0" fontId="0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174" fontId="0" fillId="0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170" fontId="0" fillId="33" borderId="0" xfId="0" applyNumberForma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34" borderId="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ont="1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0" xfId="0" applyFill="1" applyBorder="1" applyAlignment="1" quotePrefix="1">
      <alignment/>
    </xf>
    <xf numFmtId="0" fontId="0" fillId="6" borderId="10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1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6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9725"/>
          <c:w val="0.934"/>
          <c:h val="0.7515"/>
        </c:manualLayout>
      </c:layout>
      <c:scatterChart>
        <c:scatterStyle val="lineMarker"/>
        <c:varyColors val="0"/>
        <c:ser>
          <c:idx val="0"/>
          <c:order val="0"/>
          <c:tx>
            <c:v>-logPCO2=10^-3.4x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'mix results pure'!$H$31:$H$32</c:f>
              <c:numCache>
                <c:ptCount val="2"/>
              </c:numCache>
            </c:numRef>
          </c:xVal>
          <c:yVal>
            <c:numRef>
              <c:f>'mix results pure'!$I$31:$I$32</c:f>
              <c:numCache>
                <c:ptCount val="2"/>
              </c:numCache>
            </c:numRef>
          </c:yVal>
          <c:smooth val="0"/>
        </c:ser>
        <c:ser>
          <c:idx val="1"/>
          <c:order val="1"/>
          <c:tx>
            <c:v>10^-3.1x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'mix results pure'!$H$40:$H$41</c:f>
              <c:numCache>
                <c:ptCount val="2"/>
              </c:numCache>
            </c:numRef>
          </c:xVal>
          <c:yVal>
            <c:numRef>
              <c:f>'mix results pure'!$I$40:$I$41</c:f>
              <c:numCache>
                <c:ptCount val="2"/>
              </c:numCache>
            </c:numRef>
          </c:yVal>
          <c:smooth val="0"/>
        </c:ser>
        <c:ser>
          <c:idx val="2"/>
          <c:order val="2"/>
          <c:tx>
            <c:v>10^-2.7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'mix results pure'!$H$43:$H$49</c:f>
              <c:numCache>
                <c:ptCount val="7"/>
              </c:numCache>
            </c:numRef>
          </c:xVal>
          <c:yVal>
            <c:numRef>
              <c:f>'mix results pure'!$I$43:$I$49</c:f>
              <c:numCache>
                <c:ptCount val="7"/>
              </c:numCache>
            </c:numRef>
          </c:yVal>
          <c:smooth val="0"/>
        </c:ser>
        <c:ser>
          <c:idx val="3"/>
          <c:order val="3"/>
          <c:tx>
            <c:v>10^-2.4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'mix results pure'!$H$52:$H$54</c:f>
              <c:numCache>
                <c:ptCount val="3"/>
              </c:numCache>
            </c:numRef>
          </c:xVal>
          <c:yVal>
            <c:numRef>
              <c:f>'mix results pure'!$I$52:$I$54</c:f>
              <c:numCache>
                <c:ptCount val="3"/>
              </c:numCache>
            </c:numRef>
          </c:yVal>
          <c:smooth val="0"/>
        </c:ser>
        <c:ser>
          <c:idx val="4"/>
          <c:order val="4"/>
          <c:tx>
            <c:v>SI=0.8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'mix results pure'!$H$60:$H$61</c:f>
              <c:numCache>
                <c:ptCount val="2"/>
              </c:numCache>
            </c:numRef>
          </c:xVal>
          <c:yVal>
            <c:numRef>
              <c:f>'mix results pure'!$I$60:$I$61</c:f>
              <c:numCache>
                <c:ptCount val="2"/>
              </c:numCache>
            </c:numRef>
          </c:yVal>
          <c:smooth val="0"/>
        </c:ser>
        <c:ser>
          <c:idx val="5"/>
          <c:order val="5"/>
          <c:tx>
            <c:v>Sicc=1.13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'mix results pure'!$H$63:$H$64</c:f>
              <c:numCache>
                <c:ptCount val="2"/>
              </c:numCache>
            </c:numRef>
          </c:xVal>
          <c:yVal>
            <c:numRef>
              <c:f>'mix results pure'!$I$63:$I$64</c:f>
              <c:numCache>
                <c:ptCount val="2"/>
              </c:numCache>
            </c:numRef>
          </c:yVal>
          <c:smooth val="0"/>
        </c:ser>
        <c:ser>
          <c:idx val="6"/>
          <c:order val="6"/>
          <c:tx>
            <c:v>Sicc= -2.5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'mix results pure'!$H$13:$H$17</c:f>
              <c:strCache>
                <c:ptCount val="5"/>
                <c:pt idx="4">
                  <c:v>EC</c:v>
                </c:pt>
              </c:strCache>
            </c:strRef>
          </c:xVal>
          <c:yVal>
            <c:numRef>
              <c:f>'mix results pure'!$I$13:$I$17</c:f>
              <c:numCache>
                <c:ptCount val="5"/>
                <c:pt idx="4">
                  <c:v>0</c:v>
                </c:pt>
              </c:numCache>
            </c:numRef>
          </c:yVal>
          <c:smooth val="0"/>
        </c:ser>
        <c:ser>
          <c:idx val="8"/>
          <c:order val="7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-3.4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pure'!$K$3:$K$16</c:f>
              <c:numCache>
                <c:ptCount val="14"/>
                <c:pt idx="0">
                  <c:v>44.5</c:v>
                </c:pt>
                <c:pt idx="1">
                  <c:v>66</c:v>
                </c:pt>
                <c:pt idx="2">
                  <c:v>138</c:v>
                </c:pt>
                <c:pt idx="3">
                  <c:v>199</c:v>
                </c:pt>
                <c:pt idx="4">
                  <c:v>297</c:v>
                </c:pt>
                <c:pt idx="5">
                  <c:v>364</c:v>
                </c:pt>
                <c:pt idx="6">
                  <c:v>421</c:v>
                </c:pt>
                <c:pt idx="7">
                  <c:v>505</c:v>
                </c:pt>
                <c:pt idx="8">
                  <c:v>550</c:v>
                </c:pt>
                <c:pt idx="9">
                  <c:v>596</c:v>
                </c:pt>
              </c:numCache>
            </c:numRef>
          </c:xVal>
          <c:yVal>
            <c:numRef>
              <c:f>'mix results pure'!$L$3:$L$16</c:f>
              <c:numCache>
                <c:ptCount val="14"/>
                <c:pt idx="0">
                  <c:v>7.76</c:v>
                </c:pt>
                <c:pt idx="1">
                  <c:v>7.87</c:v>
                </c:pt>
                <c:pt idx="2">
                  <c:v>8.22</c:v>
                </c:pt>
                <c:pt idx="3">
                  <c:v>8.39</c:v>
                </c:pt>
                <c:pt idx="4">
                  <c:v>8.56</c:v>
                </c:pt>
                <c:pt idx="5">
                  <c:v>8.68</c:v>
                </c:pt>
              </c:numCache>
            </c:numRef>
          </c:yVal>
          <c:smooth val="0"/>
        </c:ser>
        <c:ser>
          <c:idx val="9"/>
          <c:order val="8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-3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pure'!$N$3:$N$10</c:f>
              <c:numCache>
                <c:ptCount val="8"/>
                <c:pt idx="0">
                  <c:v>44.5</c:v>
                </c:pt>
                <c:pt idx="1">
                  <c:v>66</c:v>
                </c:pt>
                <c:pt idx="2">
                  <c:v>138</c:v>
                </c:pt>
                <c:pt idx="3">
                  <c:v>199</c:v>
                </c:pt>
                <c:pt idx="4">
                  <c:v>297</c:v>
                </c:pt>
                <c:pt idx="5">
                  <c:v>364</c:v>
                </c:pt>
                <c:pt idx="6">
                  <c:v>421</c:v>
                </c:pt>
                <c:pt idx="7">
                  <c:v>505</c:v>
                </c:pt>
              </c:numCache>
            </c:numRef>
          </c:xVal>
          <c:yVal>
            <c:numRef>
              <c:f>'mix results pure'!$O$3:$O$10</c:f>
              <c:numCache>
                <c:ptCount val="8"/>
                <c:pt idx="0">
                  <c:v>7.36</c:v>
                </c:pt>
                <c:pt idx="1">
                  <c:v>7.45</c:v>
                </c:pt>
                <c:pt idx="2">
                  <c:v>7.83</c:v>
                </c:pt>
                <c:pt idx="3">
                  <c:v>7.99</c:v>
                </c:pt>
                <c:pt idx="4">
                  <c:v>8.17</c:v>
                </c:pt>
                <c:pt idx="5">
                  <c:v>8.28</c:v>
                </c:pt>
                <c:pt idx="6">
                  <c:v>8.33</c:v>
                </c:pt>
                <c:pt idx="7">
                  <c:v>8.41</c:v>
                </c:pt>
              </c:numCache>
            </c:numRef>
          </c:yVal>
          <c:smooth val="1"/>
        </c:ser>
        <c:ser>
          <c:idx val="10"/>
          <c:order val="9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-2.5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pure'!$Q$3:$Q$15</c:f>
              <c:numCache>
                <c:ptCount val="13"/>
                <c:pt idx="0">
                  <c:v>44.5</c:v>
                </c:pt>
                <c:pt idx="1">
                  <c:v>66</c:v>
                </c:pt>
                <c:pt idx="2">
                  <c:v>138</c:v>
                </c:pt>
                <c:pt idx="3">
                  <c:v>199</c:v>
                </c:pt>
                <c:pt idx="4">
                  <c:v>297</c:v>
                </c:pt>
                <c:pt idx="5">
                  <c:v>364</c:v>
                </c:pt>
                <c:pt idx="6">
                  <c:v>421</c:v>
                </c:pt>
                <c:pt idx="7">
                  <c:v>505</c:v>
                </c:pt>
                <c:pt idx="8">
                  <c:v>550</c:v>
                </c:pt>
                <c:pt idx="9">
                  <c:v>596</c:v>
                </c:pt>
                <c:pt idx="10">
                  <c:v>702</c:v>
                </c:pt>
              </c:numCache>
            </c:numRef>
          </c:xVal>
          <c:yVal>
            <c:numRef>
              <c:f>'mix results pure'!$R$3:$R$15</c:f>
              <c:numCache>
                <c:ptCount val="13"/>
                <c:pt idx="0">
                  <c:v>6.86</c:v>
                </c:pt>
                <c:pt idx="1">
                  <c:v>6.96</c:v>
                </c:pt>
                <c:pt idx="2">
                  <c:v>7.3</c:v>
                </c:pt>
                <c:pt idx="3">
                  <c:v>7.5</c:v>
                </c:pt>
                <c:pt idx="4">
                  <c:v>7.68</c:v>
                </c:pt>
                <c:pt idx="5">
                  <c:v>7.78</c:v>
                </c:pt>
                <c:pt idx="6">
                  <c:v>7.84</c:v>
                </c:pt>
                <c:pt idx="7">
                  <c:v>7.92</c:v>
                </c:pt>
                <c:pt idx="8">
                  <c:v>7.96</c:v>
                </c:pt>
                <c:pt idx="9">
                  <c:v>8.01</c:v>
                </c:pt>
                <c:pt idx="10">
                  <c:v>8.07</c:v>
                </c:pt>
              </c:numCache>
            </c:numRef>
          </c:yVal>
          <c:smooth val="0"/>
        </c:ser>
        <c:ser>
          <c:idx val="11"/>
          <c:order val="1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pure'!$T$3:$T$15</c:f>
              <c:numCache>
                <c:ptCount val="13"/>
                <c:pt idx="0">
                  <c:v>45.5</c:v>
                </c:pt>
                <c:pt idx="1">
                  <c:v>66</c:v>
                </c:pt>
                <c:pt idx="2">
                  <c:v>138</c:v>
                </c:pt>
                <c:pt idx="3">
                  <c:v>199</c:v>
                </c:pt>
                <c:pt idx="4">
                  <c:v>297</c:v>
                </c:pt>
                <c:pt idx="5">
                  <c:v>364</c:v>
                </c:pt>
                <c:pt idx="6">
                  <c:v>421</c:v>
                </c:pt>
                <c:pt idx="7">
                  <c:v>505</c:v>
                </c:pt>
                <c:pt idx="8">
                  <c:v>550</c:v>
                </c:pt>
                <c:pt idx="9">
                  <c:v>596</c:v>
                </c:pt>
                <c:pt idx="10">
                  <c:v>702</c:v>
                </c:pt>
                <c:pt idx="11">
                  <c:v>851</c:v>
                </c:pt>
                <c:pt idx="12">
                  <c:v>994</c:v>
                </c:pt>
              </c:numCache>
            </c:numRef>
          </c:xVal>
          <c:yVal>
            <c:numRef>
              <c:f>'mix results pure'!$V$3:$V$15</c:f>
              <c:numCache>
                <c:ptCount val="13"/>
                <c:pt idx="0">
                  <c:v>6.37</c:v>
                </c:pt>
                <c:pt idx="1">
                  <c:v>6.45</c:v>
                </c:pt>
                <c:pt idx="2">
                  <c:v>6.8</c:v>
                </c:pt>
                <c:pt idx="3">
                  <c:v>7</c:v>
                </c:pt>
                <c:pt idx="4">
                  <c:v>7.2</c:v>
                </c:pt>
                <c:pt idx="5">
                  <c:v>7.28</c:v>
                </c:pt>
                <c:pt idx="6">
                  <c:v>7.34</c:v>
                </c:pt>
                <c:pt idx="7">
                  <c:v>7.4</c:v>
                </c:pt>
                <c:pt idx="8">
                  <c:v>7.46</c:v>
                </c:pt>
                <c:pt idx="9">
                  <c:v>7.5</c:v>
                </c:pt>
                <c:pt idx="10">
                  <c:v>7.57</c:v>
                </c:pt>
                <c:pt idx="11">
                  <c:v>7.64</c:v>
                </c:pt>
                <c:pt idx="12">
                  <c:v>7.71</c:v>
                </c:pt>
              </c:numCache>
            </c:numRef>
          </c:yVal>
          <c:smooth val="0"/>
        </c:ser>
        <c:ser>
          <c:idx val="12"/>
          <c:order val="11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+1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pure'!$H$22:$H$31</c:f>
              <c:numCache>
                <c:ptCount val="10"/>
                <c:pt idx="0">
                  <c:v>297</c:v>
                </c:pt>
                <c:pt idx="1">
                  <c:v>364</c:v>
                </c:pt>
                <c:pt idx="2">
                  <c:v>421</c:v>
                </c:pt>
                <c:pt idx="3">
                  <c:v>505</c:v>
                </c:pt>
                <c:pt idx="4">
                  <c:v>550</c:v>
                </c:pt>
                <c:pt idx="5">
                  <c:v>596</c:v>
                </c:pt>
                <c:pt idx="6">
                  <c:v>702</c:v>
                </c:pt>
                <c:pt idx="7">
                  <c:v>851</c:v>
                </c:pt>
                <c:pt idx="8">
                  <c:v>994</c:v>
                </c:pt>
              </c:numCache>
            </c:numRef>
          </c:xVal>
          <c:yVal>
            <c:numRef>
              <c:f>'mix results pure'!$I$22:$I$31</c:f>
              <c:numCache>
                <c:ptCount val="10"/>
                <c:pt idx="0">
                  <c:v>8.65</c:v>
                </c:pt>
                <c:pt idx="1">
                  <c:v>8.45</c:v>
                </c:pt>
                <c:pt idx="2">
                  <c:v>8.33</c:v>
                </c:pt>
                <c:pt idx="3">
                  <c:v>8.18</c:v>
                </c:pt>
                <c:pt idx="4">
                  <c:v>8.1</c:v>
                </c:pt>
                <c:pt idx="5">
                  <c:v>8.02</c:v>
                </c:pt>
                <c:pt idx="6">
                  <c:v>7.89</c:v>
                </c:pt>
                <c:pt idx="7">
                  <c:v>7.74</c:v>
                </c:pt>
                <c:pt idx="8">
                  <c:v>7.61</c:v>
                </c:pt>
              </c:numCache>
            </c:numRef>
          </c:yVal>
          <c:smooth val="0"/>
        </c:ser>
        <c:ser>
          <c:idx val="13"/>
          <c:order val="12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+0.5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pure'!$K$21:$K$31</c:f>
              <c:numCache>
                <c:ptCount val="11"/>
                <c:pt idx="0">
                  <c:v>199</c:v>
                </c:pt>
                <c:pt idx="1">
                  <c:v>297</c:v>
                </c:pt>
                <c:pt idx="2">
                  <c:v>364</c:v>
                </c:pt>
                <c:pt idx="3">
                  <c:v>421</c:v>
                </c:pt>
                <c:pt idx="4">
                  <c:v>505</c:v>
                </c:pt>
                <c:pt idx="5">
                  <c:v>550</c:v>
                </c:pt>
                <c:pt idx="6">
                  <c:v>596</c:v>
                </c:pt>
                <c:pt idx="7">
                  <c:v>702</c:v>
                </c:pt>
                <c:pt idx="8">
                  <c:v>851</c:v>
                </c:pt>
                <c:pt idx="9">
                  <c:v>994</c:v>
                </c:pt>
              </c:numCache>
            </c:numRef>
          </c:xVal>
          <c:yVal>
            <c:numRef>
              <c:f>'mix results pure'!$L$21:$L$31</c:f>
              <c:numCache>
                <c:ptCount val="11"/>
                <c:pt idx="0">
                  <c:v>8.49</c:v>
                </c:pt>
                <c:pt idx="1">
                  <c:v>8.13</c:v>
                </c:pt>
                <c:pt idx="2">
                  <c:v>7.95</c:v>
                </c:pt>
                <c:pt idx="3">
                  <c:v>7.82</c:v>
                </c:pt>
                <c:pt idx="4">
                  <c:v>7.66</c:v>
                </c:pt>
                <c:pt idx="5">
                  <c:v>7.59</c:v>
                </c:pt>
                <c:pt idx="6">
                  <c:v>7.51</c:v>
                </c:pt>
                <c:pt idx="7">
                  <c:v>7.38</c:v>
                </c:pt>
                <c:pt idx="8">
                  <c:v>7.24</c:v>
                </c:pt>
                <c:pt idx="9">
                  <c:v>7.11</c:v>
                </c:pt>
              </c:numCache>
            </c:numRef>
          </c:yVal>
          <c:smooth val="0"/>
        </c:ser>
        <c:ser>
          <c:idx val="14"/>
          <c:order val="13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pure'!$N$20:$N$31</c:f>
              <c:numCache>
                <c:ptCount val="12"/>
                <c:pt idx="0">
                  <c:v>138</c:v>
                </c:pt>
                <c:pt idx="1">
                  <c:v>199</c:v>
                </c:pt>
                <c:pt idx="2">
                  <c:v>297</c:v>
                </c:pt>
                <c:pt idx="3">
                  <c:v>364</c:v>
                </c:pt>
                <c:pt idx="4">
                  <c:v>421</c:v>
                </c:pt>
                <c:pt idx="5">
                  <c:v>505</c:v>
                </c:pt>
                <c:pt idx="6">
                  <c:v>550</c:v>
                </c:pt>
                <c:pt idx="7">
                  <c:v>596</c:v>
                </c:pt>
                <c:pt idx="8">
                  <c:v>702</c:v>
                </c:pt>
                <c:pt idx="9">
                  <c:v>851</c:v>
                </c:pt>
                <c:pt idx="10">
                  <c:v>994</c:v>
                </c:pt>
              </c:numCache>
            </c:numRef>
          </c:xVal>
          <c:yVal>
            <c:numRef>
              <c:f>'mix results pure'!$O$20:$O$31</c:f>
              <c:numCache>
                <c:ptCount val="12"/>
                <c:pt idx="0">
                  <c:v>8.31</c:v>
                </c:pt>
                <c:pt idx="1">
                  <c:v>7.97</c:v>
                </c:pt>
                <c:pt idx="2">
                  <c:v>7.62</c:v>
                </c:pt>
                <c:pt idx="3">
                  <c:v>7.45</c:v>
                </c:pt>
                <c:pt idx="4">
                  <c:v>7.31</c:v>
                </c:pt>
                <c:pt idx="5">
                  <c:v>7.16</c:v>
                </c:pt>
                <c:pt idx="6">
                  <c:v>7.08</c:v>
                </c:pt>
                <c:pt idx="7">
                  <c:v>7.01</c:v>
                </c:pt>
                <c:pt idx="8">
                  <c:v>6.88</c:v>
                </c:pt>
                <c:pt idx="9">
                  <c:v>6.74</c:v>
                </c:pt>
                <c:pt idx="10">
                  <c:v>6.61</c:v>
                </c:pt>
              </c:numCache>
            </c:numRef>
          </c:yVal>
          <c:smooth val="0"/>
        </c:ser>
        <c:ser>
          <c:idx val="15"/>
          <c:order val="14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-0.5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pure'!$Q$18:$Q$28</c:f>
              <c:numCache>
                <c:ptCount val="11"/>
                <c:pt idx="0">
                  <c:v>44.5</c:v>
                </c:pt>
                <c:pt idx="1">
                  <c:v>66</c:v>
                </c:pt>
                <c:pt idx="2">
                  <c:v>138</c:v>
                </c:pt>
                <c:pt idx="3">
                  <c:v>199</c:v>
                </c:pt>
                <c:pt idx="4">
                  <c:v>297</c:v>
                </c:pt>
                <c:pt idx="5">
                  <c:v>364</c:v>
                </c:pt>
                <c:pt idx="6">
                  <c:v>421</c:v>
                </c:pt>
                <c:pt idx="7">
                  <c:v>505</c:v>
                </c:pt>
                <c:pt idx="8">
                  <c:v>550</c:v>
                </c:pt>
                <c:pt idx="9">
                  <c:v>596</c:v>
                </c:pt>
                <c:pt idx="10">
                  <c:v>702</c:v>
                </c:pt>
              </c:numCache>
            </c:numRef>
          </c:xVal>
          <c:yVal>
            <c:numRef>
              <c:f>'mix results pure'!$R$18:$R$28</c:f>
              <c:numCache>
                <c:ptCount val="11"/>
                <c:pt idx="1">
                  <c:v>8.45</c:v>
                </c:pt>
                <c:pt idx="2">
                  <c:v>7.8</c:v>
                </c:pt>
                <c:pt idx="3">
                  <c:v>7.47</c:v>
                </c:pt>
                <c:pt idx="4">
                  <c:v>7.11</c:v>
                </c:pt>
                <c:pt idx="5">
                  <c:v>6.95</c:v>
                </c:pt>
                <c:pt idx="6">
                  <c:v>6.82</c:v>
                </c:pt>
                <c:pt idx="7">
                  <c:v>6.66</c:v>
                </c:pt>
                <c:pt idx="8">
                  <c:v>6.58</c:v>
                </c:pt>
                <c:pt idx="9">
                  <c:v>6.51</c:v>
                </c:pt>
                <c:pt idx="10">
                  <c:v>6.37</c:v>
                </c:pt>
              </c:numCache>
            </c:numRef>
          </c:yVal>
          <c:smooth val="0"/>
        </c:ser>
        <c:ser>
          <c:idx val="16"/>
          <c:order val="15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pure'!$T$19:$T$24</c:f>
              <c:numCache>
                <c:ptCount val="6"/>
                <c:pt idx="0">
                  <c:v>66</c:v>
                </c:pt>
                <c:pt idx="1">
                  <c:v>138</c:v>
                </c:pt>
                <c:pt idx="2">
                  <c:v>199</c:v>
                </c:pt>
                <c:pt idx="3">
                  <c:v>297</c:v>
                </c:pt>
                <c:pt idx="4">
                  <c:v>364</c:v>
                </c:pt>
                <c:pt idx="5">
                  <c:v>421</c:v>
                </c:pt>
              </c:numCache>
            </c:numRef>
          </c:xVal>
          <c:yVal>
            <c:numRef>
              <c:f>'mix results pure'!$V$19:$V$24</c:f>
              <c:numCache>
                <c:ptCount val="6"/>
                <c:pt idx="0">
                  <c:v>8</c:v>
                </c:pt>
                <c:pt idx="1">
                  <c:v>7.33</c:v>
                </c:pt>
                <c:pt idx="2">
                  <c:v>6.96</c:v>
                </c:pt>
                <c:pt idx="3">
                  <c:v>6.61</c:v>
                </c:pt>
                <c:pt idx="4">
                  <c:v>6.45</c:v>
                </c:pt>
                <c:pt idx="5">
                  <c:v>6.31</c:v>
                </c:pt>
              </c:numCache>
            </c:numRef>
          </c:yVal>
          <c:smooth val="0"/>
        </c:ser>
        <c:ser>
          <c:idx val="17"/>
          <c:order val="16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pure'!$Y$18:$Y$21</c:f>
              <c:numCache>
                <c:ptCount val="4"/>
                <c:pt idx="0">
                  <c:v>44.5</c:v>
                </c:pt>
                <c:pt idx="1">
                  <c:v>66</c:v>
                </c:pt>
                <c:pt idx="2">
                  <c:v>138</c:v>
                </c:pt>
                <c:pt idx="3">
                  <c:v>199</c:v>
                </c:pt>
              </c:numCache>
            </c:numRef>
          </c:xVal>
          <c:yVal>
            <c:numRef>
              <c:f>'mix results pure'!$Z$18:$Z$21</c:f>
              <c:numCache>
                <c:ptCount val="4"/>
                <c:pt idx="0">
                  <c:v>7.33</c:v>
                </c:pt>
                <c:pt idx="1">
                  <c:v>7.12</c:v>
                </c:pt>
                <c:pt idx="2">
                  <c:v>6.33</c:v>
                </c:pt>
                <c:pt idx="3">
                  <c:v>5.97</c:v>
                </c:pt>
              </c:numCache>
            </c:numRef>
          </c:yVal>
          <c:smooth val="0"/>
        </c:ser>
        <c:ser>
          <c:idx val="18"/>
          <c:order val="18"/>
          <c:tx>
            <c:v>10-1.5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-1.5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pure'!$Y$4:$Y$16</c:f>
              <c:numCache>
                <c:ptCount val="13"/>
                <c:pt idx="0">
                  <c:v>66</c:v>
                </c:pt>
                <c:pt idx="1">
                  <c:v>138</c:v>
                </c:pt>
                <c:pt idx="2">
                  <c:v>199</c:v>
                </c:pt>
                <c:pt idx="3">
                  <c:v>297</c:v>
                </c:pt>
                <c:pt idx="4">
                  <c:v>364</c:v>
                </c:pt>
                <c:pt idx="5">
                  <c:v>421</c:v>
                </c:pt>
                <c:pt idx="6">
                  <c:v>505</c:v>
                </c:pt>
                <c:pt idx="7">
                  <c:v>550</c:v>
                </c:pt>
                <c:pt idx="8">
                  <c:v>596</c:v>
                </c:pt>
                <c:pt idx="9">
                  <c:v>702</c:v>
                </c:pt>
                <c:pt idx="10">
                  <c:v>851</c:v>
                </c:pt>
                <c:pt idx="11">
                  <c:v>994</c:v>
                </c:pt>
              </c:numCache>
            </c:numRef>
          </c:xVal>
          <c:yVal>
            <c:numRef>
              <c:f>'mix results pure'!$Z$4:$Z$16</c:f>
              <c:numCache>
                <c:ptCount val="13"/>
                <c:pt idx="0">
                  <c:v>5.95</c:v>
                </c:pt>
                <c:pt idx="1">
                  <c:v>6.3</c:v>
                </c:pt>
                <c:pt idx="2">
                  <c:v>6.5</c:v>
                </c:pt>
                <c:pt idx="3">
                  <c:v>6.68</c:v>
                </c:pt>
                <c:pt idx="4">
                  <c:v>6.78</c:v>
                </c:pt>
                <c:pt idx="5">
                  <c:v>6.84</c:v>
                </c:pt>
                <c:pt idx="6">
                  <c:v>6.92</c:v>
                </c:pt>
                <c:pt idx="7">
                  <c:v>6.96</c:v>
                </c:pt>
                <c:pt idx="8">
                  <c:v>7.01</c:v>
                </c:pt>
                <c:pt idx="9">
                  <c:v>7.08</c:v>
                </c:pt>
                <c:pt idx="10">
                  <c:v>7.14</c:v>
                </c:pt>
                <c:pt idx="11">
                  <c:v>7.21</c:v>
                </c:pt>
              </c:numCache>
            </c:numRef>
          </c:yVal>
          <c:smooth val="0"/>
        </c:ser>
        <c:ser>
          <c:idx val="19"/>
          <c:order val="19"/>
          <c:tx>
            <c:v>10-1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pure'!$AB$5:$AB$15</c:f>
              <c:numCache>
                <c:ptCount val="11"/>
                <c:pt idx="0">
                  <c:v>138</c:v>
                </c:pt>
                <c:pt idx="1">
                  <c:v>199</c:v>
                </c:pt>
                <c:pt idx="2">
                  <c:v>297</c:v>
                </c:pt>
                <c:pt idx="3">
                  <c:v>364</c:v>
                </c:pt>
                <c:pt idx="4">
                  <c:v>421</c:v>
                </c:pt>
                <c:pt idx="5">
                  <c:v>505</c:v>
                </c:pt>
                <c:pt idx="6">
                  <c:v>550</c:v>
                </c:pt>
                <c:pt idx="7">
                  <c:v>596</c:v>
                </c:pt>
                <c:pt idx="8">
                  <c:v>702</c:v>
                </c:pt>
                <c:pt idx="9">
                  <c:v>851</c:v>
                </c:pt>
                <c:pt idx="10">
                  <c:v>994</c:v>
                </c:pt>
              </c:numCache>
            </c:numRef>
          </c:xVal>
          <c:yVal>
            <c:numRef>
              <c:f>'mix results pure'!$AC$5:$AC$15</c:f>
              <c:numCache>
                <c:ptCount val="11"/>
                <c:pt idx="0">
                  <c:v>5.79</c:v>
                </c:pt>
                <c:pt idx="1">
                  <c:v>6.01</c:v>
                </c:pt>
                <c:pt idx="2">
                  <c:v>6.19</c:v>
                </c:pt>
                <c:pt idx="3">
                  <c:v>6.28</c:v>
                </c:pt>
                <c:pt idx="4">
                  <c:v>6.35</c:v>
                </c:pt>
                <c:pt idx="5">
                  <c:v>6.43</c:v>
                </c:pt>
                <c:pt idx="6">
                  <c:v>6.465</c:v>
                </c:pt>
                <c:pt idx="7">
                  <c:v>6.51</c:v>
                </c:pt>
                <c:pt idx="8">
                  <c:v>6.58</c:v>
                </c:pt>
                <c:pt idx="9">
                  <c:v>6.65</c:v>
                </c:pt>
                <c:pt idx="10">
                  <c:v>6.71</c:v>
                </c:pt>
              </c:numCache>
            </c:numRef>
          </c:yVal>
          <c:smooth val="0"/>
        </c:ser>
        <c:axId val="13342501"/>
        <c:axId val="52973646"/>
      </c:scatterChart>
      <c:scatterChart>
        <c:scatterStyle val="lineMarker"/>
        <c:varyColors val="0"/>
        <c:ser>
          <c:idx val="7"/>
          <c:order val="17"/>
          <c:tx>
            <c:v>dummy data for second x-axis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'mix results pure'!$U$3:$U$12</c:f>
              <c:numCache>
                <c:ptCount val="10"/>
                <c:pt idx="0">
                  <c:v>6</c:v>
                </c:pt>
                <c:pt idx="1">
                  <c:v>10</c:v>
                </c:pt>
                <c:pt idx="2">
                  <c:v>24</c:v>
                </c:pt>
                <c:pt idx="3">
                  <c:v>36</c:v>
                </c:pt>
                <c:pt idx="4">
                  <c:v>56</c:v>
                </c:pt>
                <c:pt idx="5">
                  <c:v>70</c:v>
                </c:pt>
                <c:pt idx="6">
                  <c:v>82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</c:numCache>
            </c:numRef>
          </c:xVal>
          <c:yVal>
            <c:numRef>
              <c:f>'mix results pure'!$V$3:$V$12</c:f>
              <c:numCache>
                <c:ptCount val="10"/>
                <c:pt idx="0">
                  <c:v>6.37</c:v>
                </c:pt>
                <c:pt idx="1">
                  <c:v>6.45</c:v>
                </c:pt>
                <c:pt idx="2">
                  <c:v>6.8</c:v>
                </c:pt>
                <c:pt idx="3">
                  <c:v>7</c:v>
                </c:pt>
                <c:pt idx="4">
                  <c:v>7.2</c:v>
                </c:pt>
                <c:pt idx="5">
                  <c:v>7.28</c:v>
                </c:pt>
                <c:pt idx="6">
                  <c:v>7.34</c:v>
                </c:pt>
                <c:pt idx="7">
                  <c:v>7.4</c:v>
                </c:pt>
                <c:pt idx="8">
                  <c:v>7.46</c:v>
                </c:pt>
                <c:pt idx="9">
                  <c:v>7.5</c:v>
                </c:pt>
              </c:numCache>
            </c:numRef>
          </c:yVal>
          <c:smooth val="0"/>
        </c:ser>
        <c:axId val="7000767"/>
        <c:axId val="63006904"/>
      </c:scatterChart>
      <c:valAx>
        <c:axId val="13342501"/>
        <c:scaling>
          <c:orientation val="minMax"/>
          <c:max val="1000"/>
          <c:min val="0"/>
        </c:scaling>
        <c:axPos val="t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2973646"/>
        <c:crossesAt val="6"/>
        <c:crossBetween val="midCat"/>
        <c:dispUnits/>
      </c:valAx>
      <c:valAx>
        <c:axId val="52973646"/>
        <c:scaling>
          <c:orientation val="maxMin"/>
          <c:max val="9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0052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42501"/>
        <c:crosses val="autoZero"/>
        <c:crossBetween val="midCat"/>
        <c:dispUnits/>
      </c:valAx>
      <c:valAx>
        <c:axId val="7000767"/>
        <c:scaling>
          <c:orientation val="minMax"/>
          <c:max val="1000"/>
        </c:scaling>
        <c:axPos val="t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3006904"/>
        <c:crosses val="max"/>
        <c:crossBetween val="midCat"/>
        <c:dispUnits/>
        <c:majorUnit val="100"/>
      </c:valAx>
      <c:valAx>
        <c:axId val="63006904"/>
        <c:scaling>
          <c:orientation val="maxMin"/>
        </c:scaling>
        <c:axPos val="l"/>
        <c:delete val="1"/>
        <c:majorTickMark val="out"/>
        <c:minorTickMark val="none"/>
        <c:tickLblPos val="none"/>
        <c:crossAx val="7000767"/>
        <c:crosses val="max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12825"/>
          <c:w val="0.891"/>
          <c:h val="0.70225"/>
        </c:manualLayout>
      </c:layout>
      <c:scatterChart>
        <c:scatterStyle val="lineMarker"/>
        <c:varyColors val="0"/>
        <c:ser>
          <c:idx val="0"/>
          <c:order val="0"/>
          <c:tx>
            <c:v>-logPCO2=10^-3.4x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'mix results pure'!$H$31:$H$32</c:f>
              <c:numCache>
                <c:ptCount val="2"/>
              </c:numCache>
            </c:numRef>
          </c:xVal>
          <c:yVal>
            <c:numRef>
              <c:f>'mix results pure'!$I$31:$I$32</c:f>
              <c:numCache>
                <c:ptCount val="2"/>
              </c:numCache>
            </c:numRef>
          </c:yVal>
          <c:smooth val="0"/>
        </c:ser>
        <c:ser>
          <c:idx val="1"/>
          <c:order val="1"/>
          <c:tx>
            <c:v>10^-3.1x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'mix results pure'!$H$40:$H$41</c:f>
              <c:numCache>
                <c:ptCount val="2"/>
              </c:numCache>
            </c:numRef>
          </c:xVal>
          <c:yVal>
            <c:numRef>
              <c:f>'mix results pure'!$I$40:$I$41</c:f>
              <c:numCache>
                <c:ptCount val="2"/>
              </c:numCache>
            </c:numRef>
          </c:yVal>
          <c:smooth val="0"/>
        </c:ser>
        <c:ser>
          <c:idx val="2"/>
          <c:order val="2"/>
          <c:tx>
            <c:v>10^-2.7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'mix results pure'!$H$43:$H$49</c:f>
              <c:numCache>
                <c:ptCount val="7"/>
              </c:numCache>
            </c:numRef>
          </c:xVal>
          <c:yVal>
            <c:numRef>
              <c:f>'mix results pure'!$I$43:$I$49</c:f>
              <c:numCache>
                <c:ptCount val="7"/>
              </c:numCache>
            </c:numRef>
          </c:yVal>
          <c:smooth val="0"/>
        </c:ser>
        <c:ser>
          <c:idx val="3"/>
          <c:order val="3"/>
          <c:tx>
            <c:v>10^-2.4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'mix results pure'!$H$52:$H$54</c:f>
              <c:numCache>
                <c:ptCount val="3"/>
              </c:numCache>
            </c:numRef>
          </c:xVal>
          <c:yVal>
            <c:numRef>
              <c:f>'mix results pure'!$I$52:$I$54</c:f>
              <c:numCache>
                <c:ptCount val="3"/>
              </c:numCache>
            </c:numRef>
          </c:yVal>
          <c:smooth val="0"/>
        </c:ser>
        <c:ser>
          <c:idx val="4"/>
          <c:order val="4"/>
          <c:tx>
            <c:v>SI=0.8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'mix results pure'!$H$60:$H$61</c:f>
              <c:numCache>
                <c:ptCount val="2"/>
              </c:numCache>
            </c:numRef>
          </c:xVal>
          <c:yVal>
            <c:numRef>
              <c:f>'mix results pure'!$I$60:$I$61</c:f>
              <c:numCache>
                <c:ptCount val="2"/>
              </c:numCache>
            </c:numRef>
          </c:yVal>
          <c:smooth val="0"/>
        </c:ser>
        <c:ser>
          <c:idx val="5"/>
          <c:order val="5"/>
          <c:tx>
            <c:v>Sicc=1.13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'mix results pure'!$H$63:$H$64</c:f>
              <c:numCache>
                <c:ptCount val="2"/>
              </c:numCache>
            </c:numRef>
          </c:xVal>
          <c:yVal>
            <c:numRef>
              <c:f>'mix results pure'!$I$63:$I$64</c:f>
              <c:numCache>
                <c:ptCount val="2"/>
              </c:numCache>
            </c:numRef>
          </c:yVal>
          <c:smooth val="0"/>
        </c:ser>
        <c:ser>
          <c:idx val="6"/>
          <c:order val="6"/>
          <c:tx>
            <c:v>Sicc= -2.5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'mix results pure'!$H$13:$H$17</c:f>
              <c:strCache>
                <c:ptCount val="5"/>
                <c:pt idx="4">
                  <c:v>EC</c:v>
                </c:pt>
              </c:strCache>
            </c:strRef>
          </c:xVal>
          <c:yVal>
            <c:numRef>
              <c:f>'mix results pure'!$I$13:$I$17</c:f>
              <c:numCache>
                <c:ptCount val="5"/>
                <c:pt idx="4">
                  <c:v>0</c:v>
                </c:pt>
              </c:numCache>
            </c:numRef>
          </c:yVal>
          <c:smooth val="0"/>
        </c:ser>
        <c:ser>
          <c:idx val="8"/>
          <c:order val="7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'mix results pure'!$K$3:$K$16</c:f>
              <c:numCache>
                <c:ptCount val="14"/>
                <c:pt idx="0">
                  <c:v>44.5</c:v>
                </c:pt>
                <c:pt idx="1">
                  <c:v>66</c:v>
                </c:pt>
                <c:pt idx="2">
                  <c:v>138</c:v>
                </c:pt>
                <c:pt idx="3">
                  <c:v>199</c:v>
                </c:pt>
                <c:pt idx="4">
                  <c:v>297</c:v>
                </c:pt>
                <c:pt idx="5">
                  <c:v>364</c:v>
                </c:pt>
                <c:pt idx="6">
                  <c:v>421</c:v>
                </c:pt>
                <c:pt idx="7">
                  <c:v>505</c:v>
                </c:pt>
                <c:pt idx="8">
                  <c:v>550</c:v>
                </c:pt>
                <c:pt idx="9">
                  <c:v>596</c:v>
                </c:pt>
              </c:numCache>
            </c:numRef>
          </c:xVal>
          <c:yVal>
            <c:numRef>
              <c:f>'mix results pure'!$L$3:$L$16</c:f>
              <c:numCache>
                <c:ptCount val="14"/>
                <c:pt idx="0">
                  <c:v>7.76</c:v>
                </c:pt>
                <c:pt idx="1">
                  <c:v>7.87</c:v>
                </c:pt>
                <c:pt idx="2">
                  <c:v>8.22</c:v>
                </c:pt>
                <c:pt idx="3">
                  <c:v>8.39</c:v>
                </c:pt>
                <c:pt idx="4">
                  <c:v>8.56</c:v>
                </c:pt>
                <c:pt idx="5">
                  <c:v>8.68</c:v>
                </c:pt>
              </c:numCache>
            </c:numRef>
          </c:yVal>
          <c:smooth val="0"/>
        </c:ser>
        <c:ser>
          <c:idx val="14"/>
          <c:order val="8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'mix results pure'!$N$20:$N$31</c:f>
              <c:numCache>
                <c:ptCount val="12"/>
                <c:pt idx="0">
                  <c:v>138</c:v>
                </c:pt>
                <c:pt idx="1">
                  <c:v>199</c:v>
                </c:pt>
                <c:pt idx="2">
                  <c:v>297</c:v>
                </c:pt>
                <c:pt idx="3">
                  <c:v>364</c:v>
                </c:pt>
                <c:pt idx="4">
                  <c:v>421</c:v>
                </c:pt>
                <c:pt idx="5">
                  <c:v>505</c:v>
                </c:pt>
                <c:pt idx="6">
                  <c:v>550</c:v>
                </c:pt>
                <c:pt idx="7">
                  <c:v>596</c:v>
                </c:pt>
                <c:pt idx="8">
                  <c:v>702</c:v>
                </c:pt>
                <c:pt idx="9">
                  <c:v>851</c:v>
                </c:pt>
                <c:pt idx="10">
                  <c:v>994</c:v>
                </c:pt>
              </c:numCache>
            </c:numRef>
          </c:xVal>
          <c:yVal>
            <c:numRef>
              <c:f>'mix results pure'!$O$20:$O$31</c:f>
              <c:numCache>
                <c:ptCount val="12"/>
                <c:pt idx="0">
                  <c:v>8.31</c:v>
                </c:pt>
                <c:pt idx="1">
                  <c:v>7.97</c:v>
                </c:pt>
                <c:pt idx="2">
                  <c:v>7.62</c:v>
                </c:pt>
                <c:pt idx="3">
                  <c:v>7.45</c:v>
                </c:pt>
                <c:pt idx="4">
                  <c:v>7.31</c:v>
                </c:pt>
                <c:pt idx="5">
                  <c:v>7.16</c:v>
                </c:pt>
                <c:pt idx="6">
                  <c:v>7.08</c:v>
                </c:pt>
                <c:pt idx="7">
                  <c:v>7.01</c:v>
                </c:pt>
                <c:pt idx="8">
                  <c:v>6.88</c:v>
                </c:pt>
                <c:pt idx="9">
                  <c:v>6.74</c:v>
                </c:pt>
                <c:pt idx="10">
                  <c:v>6.61</c:v>
                </c:pt>
              </c:numCache>
            </c:numRef>
          </c:yVal>
          <c:smooth val="0"/>
        </c:ser>
        <c:axId val="30191225"/>
        <c:axId val="3285570"/>
      </c:scatterChart>
      <c:scatterChart>
        <c:scatterStyle val="lineMarker"/>
        <c:varyColors val="0"/>
        <c:ser>
          <c:idx val="7"/>
          <c:order val="9"/>
          <c:tx>
            <c:v>dummy data for second x-axis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'mix results pure'!$U$3:$U$12</c:f>
              <c:numCache>
                <c:ptCount val="10"/>
                <c:pt idx="0">
                  <c:v>6</c:v>
                </c:pt>
                <c:pt idx="1">
                  <c:v>10</c:v>
                </c:pt>
                <c:pt idx="2">
                  <c:v>24</c:v>
                </c:pt>
                <c:pt idx="3">
                  <c:v>36</c:v>
                </c:pt>
                <c:pt idx="4">
                  <c:v>56</c:v>
                </c:pt>
                <c:pt idx="5">
                  <c:v>70</c:v>
                </c:pt>
                <c:pt idx="6">
                  <c:v>82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</c:numCache>
            </c:numRef>
          </c:xVal>
          <c:yVal>
            <c:numRef>
              <c:f>'mix results pure'!$V$3:$V$12</c:f>
              <c:numCache>
                <c:ptCount val="10"/>
                <c:pt idx="0">
                  <c:v>6.37</c:v>
                </c:pt>
                <c:pt idx="1">
                  <c:v>6.45</c:v>
                </c:pt>
                <c:pt idx="2">
                  <c:v>6.8</c:v>
                </c:pt>
                <c:pt idx="3">
                  <c:v>7</c:v>
                </c:pt>
                <c:pt idx="4">
                  <c:v>7.2</c:v>
                </c:pt>
                <c:pt idx="5">
                  <c:v>7.28</c:v>
                </c:pt>
                <c:pt idx="6">
                  <c:v>7.34</c:v>
                </c:pt>
                <c:pt idx="7">
                  <c:v>7.4</c:v>
                </c:pt>
                <c:pt idx="8">
                  <c:v>7.46</c:v>
                </c:pt>
                <c:pt idx="9">
                  <c:v>7.5</c:v>
                </c:pt>
              </c:numCache>
            </c:numRef>
          </c:yVal>
          <c:smooth val="0"/>
        </c:ser>
        <c:axId val="29570131"/>
        <c:axId val="64804588"/>
      </c:scatterChart>
      <c:valAx>
        <c:axId val="30191225"/>
        <c:scaling>
          <c:orientation val="minMax"/>
          <c:max val="1000"/>
          <c:min val="0"/>
        </c:scaling>
        <c:axPos val="t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285570"/>
        <c:crossesAt val="6"/>
        <c:crossBetween val="midCat"/>
        <c:dispUnits/>
        <c:majorUnit val="100"/>
      </c:valAx>
      <c:valAx>
        <c:axId val="3285570"/>
        <c:scaling>
          <c:orientation val="maxMin"/>
          <c:max val="9"/>
          <c:min val="6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0191225"/>
        <c:crosses val="autoZero"/>
        <c:crossBetween val="midCat"/>
        <c:dispUnits/>
      </c:valAx>
      <c:valAx>
        <c:axId val="29570131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(Ca+Mg), mmol L</a:t>
                </a:r>
                <a:r>
                  <a:rPr lang="en-US" cap="none" sz="1525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0.290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4804588"/>
        <c:crosses val="max"/>
        <c:crossBetween val="midCat"/>
        <c:dispUnits/>
        <c:majorUnit val="10"/>
      </c:valAx>
      <c:valAx>
        <c:axId val="64804588"/>
        <c:scaling>
          <c:orientation val="maxMin"/>
        </c:scaling>
        <c:axPos val="l"/>
        <c:delete val="1"/>
        <c:majorTickMark val="out"/>
        <c:minorTickMark val="none"/>
        <c:tickLblPos val="none"/>
        <c:crossAx val="29570131"/>
        <c:crosses val="max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825"/>
          <c:w val="0.96925"/>
          <c:h val="0.797"/>
        </c:manualLayout>
      </c:layout>
      <c:scatterChart>
        <c:scatterStyle val="lineMarker"/>
        <c:varyColors val="0"/>
        <c:ser>
          <c:idx val="0"/>
          <c:order val="0"/>
          <c:tx>
            <c:v>-logPCO2=10^-3.4x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'mix results pure'!$H$31:$H$32</c:f>
              <c:numCache>
                <c:ptCount val="2"/>
              </c:numCache>
            </c:numRef>
          </c:xVal>
          <c:yVal>
            <c:numRef>
              <c:f>'mix results pure'!$I$31:$I$32</c:f>
              <c:numCache>
                <c:ptCount val="2"/>
              </c:numCache>
            </c:numRef>
          </c:yVal>
          <c:smooth val="0"/>
        </c:ser>
        <c:ser>
          <c:idx val="1"/>
          <c:order val="1"/>
          <c:tx>
            <c:v>10^-3.1x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'mix results pure'!$H$40:$H$41</c:f>
              <c:numCache>
                <c:ptCount val="2"/>
              </c:numCache>
            </c:numRef>
          </c:xVal>
          <c:yVal>
            <c:numRef>
              <c:f>'mix results pure'!$I$40:$I$41</c:f>
              <c:numCache>
                <c:ptCount val="2"/>
              </c:numCache>
            </c:numRef>
          </c:yVal>
          <c:smooth val="0"/>
        </c:ser>
        <c:ser>
          <c:idx val="2"/>
          <c:order val="2"/>
          <c:tx>
            <c:v>10^-2.7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'mix results pure'!$H$43:$H$49</c:f>
              <c:numCache>
                <c:ptCount val="7"/>
              </c:numCache>
            </c:numRef>
          </c:xVal>
          <c:yVal>
            <c:numRef>
              <c:f>'mix results pure'!$I$43:$I$49</c:f>
              <c:numCache>
                <c:ptCount val="7"/>
              </c:numCache>
            </c:numRef>
          </c:yVal>
          <c:smooth val="0"/>
        </c:ser>
        <c:ser>
          <c:idx val="3"/>
          <c:order val="3"/>
          <c:tx>
            <c:v>10^-2.4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'mix results pure'!$H$52:$H$54</c:f>
              <c:numCache>
                <c:ptCount val="3"/>
              </c:numCache>
            </c:numRef>
          </c:xVal>
          <c:yVal>
            <c:numRef>
              <c:f>'mix results pure'!$I$52:$I$54</c:f>
              <c:numCache>
                <c:ptCount val="3"/>
              </c:numCache>
            </c:numRef>
          </c:yVal>
          <c:smooth val="0"/>
        </c:ser>
        <c:ser>
          <c:idx val="4"/>
          <c:order val="4"/>
          <c:tx>
            <c:v>SI=0.8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'mix results pure'!$H$60:$H$61</c:f>
              <c:numCache>
                <c:ptCount val="2"/>
              </c:numCache>
            </c:numRef>
          </c:xVal>
          <c:yVal>
            <c:numRef>
              <c:f>'mix results pure'!$I$60:$I$61</c:f>
              <c:numCache>
                <c:ptCount val="2"/>
              </c:numCache>
            </c:numRef>
          </c:yVal>
          <c:smooth val="0"/>
        </c:ser>
        <c:ser>
          <c:idx val="5"/>
          <c:order val="5"/>
          <c:tx>
            <c:v>Sicc=1.13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'mix results pure'!$H$63:$H$64</c:f>
              <c:numCache>
                <c:ptCount val="2"/>
              </c:numCache>
            </c:numRef>
          </c:xVal>
          <c:yVal>
            <c:numRef>
              <c:f>'mix results pure'!$I$63:$I$64</c:f>
              <c:numCache>
                <c:ptCount val="2"/>
              </c:numCache>
            </c:numRef>
          </c:yVal>
          <c:smooth val="0"/>
        </c:ser>
        <c:ser>
          <c:idx val="6"/>
          <c:order val="6"/>
          <c:tx>
            <c:v>Sicc= -2.5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'mix results pure'!$H$13:$H$17</c:f>
              <c:strCache>
                <c:ptCount val="5"/>
                <c:pt idx="4">
                  <c:v>EC</c:v>
                </c:pt>
              </c:strCache>
            </c:strRef>
          </c:xVal>
          <c:yVal>
            <c:numRef>
              <c:f>'mix results pure'!$I$13:$I$17</c:f>
              <c:numCache>
                <c:ptCount val="5"/>
                <c:pt idx="4">
                  <c:v>0</c:v>
                </c:pt>
              </c:numCache>
            </c:numRef>
          </c:yVal>
          <c:smooth val="0"/>
        </c:ser>
        <c:ser>
          <c:idx val="8"/>
          <c:order val="7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75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  <a:r>
                      <a:rPr lang="en-US" cap="none" sz="1675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-3.4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pure'!$K$2:$K$5</c:f>
              <c:numCache>
                <c:ptCount val="4"/>
                <c:pt idx="0">
                  <c:v>27.7</c:v>
                </c:pt>
                <c:pt idx="1">
                  <c:v>44.5</c:v>
                </c:pt>
                <c:pt idx="2">
                  <c:v>66</c:v>
                </c:pt>
                <c:pt idx="3">
                  <c:v>138</c:v>
                </c:pt>
              </c:numCache>
            </c:numRef>
          </c:xVal>
          <c:yVal>
            <c:numRef>
              <c:f>'mix results pure'!$L$2:$L$5</c:f>
              <c:numCache>
                <c:ptCount val="4"/>
                <c:pt idx="0">
                  <c:v>7.35</c:v>
                </c:pt>
                <c:pt idx="1">
                  <c:v>7.76</c:v>
                </c:pt>
                <c:pt idx="2">
                  <c:v>7.87</c:v>
                </c:pt>
                <c:pt idx="3">
                  <c:v>8.22</c:v>
                </c:pt>
              </c:numCache>
            </c:numRef>
          </c:yVal>
          <c:smooth val="0"/>
        </c:ser>
        <c:ser>
          <c:idx val="10"/>
          <c:order val="8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75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  <a:r>
                      <a:rPr lang="en-US" cap="none" sz="1675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-2.5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pure'!$Q$2:$Q$7</c:f>
              <c:numCache>
                <c:ptCount val="6"/>
                <c:pt idx="0">
                  <c:v>27.7</c:v>
                </c:pt>
                <c:pt idx="1">
                  <c:v>44.5</c:v>
                </c:pt>
                <c:pt idx="2">
                  <c:v>66</c:v>
                </c:pt>
                <c:pt idx="3">
                  <c:v>138</c:v>
                </c:pt>
                <c:pt idx="4">
                  <c:v>199</c:v>
                </c:pt>
                <c:pt idx="5">
                  <c:v>297</c:v>
                </c:pt>
              </c:numCache>
            </c:numRef>
          </c:xVal>
          <c:yVal>
            <c:numRef>
              <c:f>'mix results pure'!$R$2:$R$7</c:f>
              <c:numCache>
                <c:ptCount val="6"/>
                <c:pt idx="0">
                  <c:v>6.45</c:v>
                </c:pt>
                <c:pt idx="1">
                  <c:v>6.86</c:v>
                </c:pt>
                <c:pt idx="2">
                  <c:v>6.96</c:v>
                </c:pt>
                <c:pt idx="3">
                  <c:v>7.3</c:v>
                </c:pt>
                <c:pt idx="4">
                  <c:v>7.5</c:v>
                </c:pt>
                <c:pt idx="5">
                  <c:v>7.68</c:v>
                </c:pt>
              </c:numCache>
            </c:numRef>
          </c:yVal>
          <c:smooth val="0"/>
        </c:ser>
        <c:ser>
          <c:idx val="14"/>
          <c:order val="9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'mix results pure'!$N$18:$N$31</c:f>
              <c:numCache>
                <c:ptCount val="14"/>
                <c:pt idx="0">
                  <c:v>55</c:v>
                </c:pt>
                <c:pt idx="1">
                  <c:v>120.1</c:v>
                </c:pt>
                <c:pt idx="2">
                  <c:v>138</c:v>
                </c:pt>
                <c:pt idx="3">
                  <c:v>199</c:v>
                </c:pt>
                <c:pt idx="4">
                  <c:v>297</c:v>
                </c:pt>
                <c:pt idx="5">
                  <c:v>364</c:v>
                </c:pt>
                <c:pt idx="6">
                  <c:v>421</c:v>
                </c:pt>
                <c:pt idx="7">
                  <c:v>505</c:v>
                </c:pt>
                <c:pt idx="8">
                  <c:v>550</c:v>
                </c:pt>
                <c:pt idx="9">
                  <c:v>596</c:v>
                </c:pt>
                <c:pt idx="10">
                  <c:v>702</c:v>
                </c:pt>
                <c:pt idx="11">
                  <c:v>851</c:v>
                </c:pt>
                <c:pt idx="12">
                  <c:v>994</c:v>
                </c:pt>
              </c:numCache>
            </c:numRef>
          </c:xVal>
          <c:yVal>
            <c:numRef>
              <c:f>'mix results pure'!$O$18:$O$31</c:f>
              <c:numCache>
                <c:ptCount val="14"/>
                <c:pt idx="0">
                  <c:v>9.27</c:v>
                </c:pt>
                <c:pt idx="1">
                  <c:v>8.41</c:v>
                </c:pt>
                <c:pt idx="2">
                  <c:v>8.31</c:v>
                </c:pt>
                <c:pt idx="3">
                  <c:v>7.97</c:v>
                </c:pt>
                <c:pt idx="4">
                  <c:v>7.62</c:v>
                </c:pt>
                <c:pt idx="5">
                  <c:v>7.45</c:v>
                </c:pt>
                <c:pt idx="6">
                  <c:v>7.31</c:v>
                </c:pt>
                <c:pt idx="7">
                  <c:v>7.16</c:v>
                </c:pt>
                <c:pt idx="8">
                  <c:v>7.08</c:v>
                </c:pt>
                <c:pt idx="9">
                  <c:v>7.01</c:v>
                </c:pt>
                <c:pt idx="10">
                  <c:v>6.88</c:v>
                </c:pt>
                <c:pt idx="11">
                  <c:v>6.74</c:v>
                </c:pt>
                <c:pt idx="12">
                  <c:v>6.61</c:v>
                </c:pt>
              </c:numCache>
            </c:numRef>
          </c:yVal>
          <c:smooth val="0"/>
        </c:ser>
        <c:ser>
          <c:idx val="18"/>
          <c:order val="11"/>
          <c:tx>
            <c:v>10-1.5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75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  <a:r>
                      <a:rPr lang="en-US" cap="none" sz="1675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-1.5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pure'!$Y$4:$Y$12</c:f>
              <c:numCache>
                <c:ptCount val="9"/>
                <c:pt idx="0">
                  <c:v>66</c:v>
                </c:pt>
                <c:pt idx="1">
                  <c:v>138</c:v>
                </c:pt>
                <c:pt idx="2">
                  <c:v>199</c:v>
                </c:pt>
                <c:pt idx="3">
                  <c:v>297</c:v>
                </c:pt>
                <c:pt idx="4">
                  <c:v>364</c:v>
                </c:pt>
                <c:pt idx="5">
                  <c:v>421</c:v>
                </c:pt>
                <c:pt idx="6">
                  <c:v>505</c:v>
                </c:pt>
                <c:pt idx="7">
                  <c:v>550</c:v>
                </c:pt>
                <c:pt idx="8">
                  <c:v>596</c:v>
                </c:pt>
              </c:numCache>
            </c:numRef>
          </c:xVal>
          <c:yVal>
            <c:numRef>
              <c:f>'mix results pure'!$Z$4:$Z$12</c:f>
              <c:numCache>
                <c:ptCount val="9"/>
                <c:pt idx="0">
                  <c:v>5.95</c:v>
                </c:pt>
                <c:pt idx="1">
                  <c:v>6.3</c:v>
                </c:pt>
                <c:pt idx="2">
                  <c:v>6.5</c:v>
                </c:pt>
                <c:pt idx="3">
                  <c:v>6.68</c:v>
                </c:pt>
                <c:pt idx="4">
                  <c:v>6.78</c:v>
                </c:pt>
                <c:pt idx="5">
                  <c:v>6.84</c:v>
                </c:pt>
                <c:pt idx="6">
                  <c:v>6.92</c:v>
                </c:pt>
                <c:pt idx="7">
                  <c:v>6.96</c:v>
                </c:pt>
                <c:pt idx="8">
                  <c:v>7.01</c:v>
                </c:pt>
              </c:numCache>
            </c:numRef>
          </c:yVal>
          <c:smooth val="0"/>
        </c:ser>
        <c:ser>
          <c:idx val="19"/>
          <c:order val="12"/>
          <c:tx>
            <c:v>10-1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75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  <a:r>
                      <a:rPr lang="en-US" cap="none" sz="1675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pure'!$AB$5:$AB$15</c:f>
              <c:numCache>
                <c:ptCount val="11"/>
                <c:pt idx="0">
                  <c:v>138</c:v>
                </c:pt>
                <c:pt idx="1">
                  <c:v>199</c:v>
                </c:pt>
                <c:pt idx="2">
                  <c:v>297</c:v>
                </c:pt>
                <c:pt idx="3">
                  <c:v>364</c:v>
                </c:pt>
                <c:pt idx="4">
                  <c:v>421</c:v>
                </c:pt>
                <c:pt idx="5">
                  <c:v>505</c:v>
                </c:pt>
                <c:pt idx="6">
                  <c:v>550</c:v>
                </c:pt>
                <c:pt idx="7">
                  <c:v>596</c:v>
                </c:pt>
                <c:pt idx="8">
                  <c:v>702</c:v>
                </c:pt>
                <c:pt idx="9">
                  <c:v>851</c:v>
                </c:pt>
                <c:pt idx="10">
                  <c:v>994</c:v>
                </c:pt>
              </c:numCache>
            </c:numRef>
          </c:xVal>
          <c:yVal>
            <c:numRef>
              <c:f>'mix results pure'!$AC$5:$AC$15</c:f>
              <c:numCache>
                <c:ptCount val="11"/>
                <c:pt idx="0">
                  <c:v>5.79</c:v>
                </c:pt>
                <c:pt idx="1">
                  <c:v>6.01</c:v>
                </c:pt>
                <c:pt idx="2">
                  <c:v>6.19</c:v>
                </c:pt>
                <c:pt idx="3">
                  <c:v>6.28</c:v>
                </c:pt>
                <c:pt idx="4">
                  <c:v>6.35</c:v>
                </c:pt>
                <c:pt idx="5">
                  <c:v>6.43</c:v>
                </c:pt>
                <c:pt idx="6">
                  <c:v>6.465</c:v>
                </c:pt>
                <c:pt idx="7">
                  <c:v>6.51</c:v>
                </c:pt>
                <c:pt idx="8">
                  <c:v>6.58</c:v>
                </c:pt>
                <c:pt idx="9">
                  <c:v>6.65</c:v>
                </c:pt>
                <c:pt idx="10">
                  <c:v>6.71</c:v>
                </c:pt>
              </c:numCache>
            </c:numRef>
          </c:yVal>
          <c:smooth val="0"/>
        </c:ser>
        <c:ser>
          <c:idx val="12"/>
          <c:order val="13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xVal>
            <c:numRef>
              <c:f>'mix results pure'!$X$37:$X$39</c:f>
              <c:numCache>
                <c:ptCount val="3"/>
                <c:pt idx="1">
                  <c:v>12.547123733</c:v>
                </c:pt>
                <c:pt idx="2">
                  <c:v>13.732854342825245</c:v>
                </c:pt>
              </c:numCache>
            </c:numRef>
          </c:xVal>
          <c:yVal>
            <c:numRef>
              <c:f>'mix results pure'!$Y$37:$Y$39</c:f>
              <c:numCache>
                <c:ptCount val="3"/>
                <c:pt idx="0">
                  <c:v>0</c:v>
                </c:pt>
                <c:pt idx="1">
                  <c:v>5.04</c:v>
                </c:pt>
                <c:pt idx="2">
                  <c:v>5.81</c:v>
                </c:pt>
              </c:numCache>
            </c:numRef>
          </c:yVal>
          <c:smooth val="0"/>
        </c:ser>
        <c:ser>
          <c:idx val="15"/>
          <c:order val="14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'mix results pure'!$W$59:$W$67</c:f>
              <c:numCache>
                <c:ptCount val="9"/>
                <c:pt idx="0">
                  <c:v>11</c:v>
                </c:pt>
                <c:pt idx="1">
                  <c:v>17.970299026592304</c:v>
                </c:pt>
                <c:pt idx="2">
                  <c:v>22.098865326576124</c:v>
                </c:pt>
                <c:pt idx="3">
                  <c:v>24.460987659525834</c:v>
                </c:pt>
                <c:pt idx="4">
                  <c:v>28.049247144576206</c:v>
                </c:pt>
                <c:pt idx="5">
                  <c:v>32.760501896165636</c:v>
                </c:pt>
                <c:pt idx="6">
                  <c:v>39.89207774250105</c:v>
                </c:pt>
                <c:pt idx="7">
                  <c:v>45.75317626930541</c:v>
                </c:pt>
                <c:pt idx="8">
                  <c:v>51.649912554265505</c:v>
                </c:pt>
              </c:numCache>
            </c:numRef>
          </c:xVal>
          <c:yVal>
            <c:numRef>
              <c:f>'mix results pure'!$Y$59:$Y$67</c:f>
              <c:numCache>
                <c:ptCount val="9"/>
                <c:pt idx="0">
                  <c:v>4.89</c:v>
                </c:pt>
                <c:pt idx="1">
                  <c:v>6</c:v>
                </c:pt>
                <c:pt idx="2">
                  <c:v>6.28</c:v>
                </c:pt>
                <c:pt idx="3">
                  <c:v>6.42</c:v>
                </c:pt>
                <c:pt idx="4">
                  <c:v>6.61</c:v>
                </c:pt>
                <c:pt idx="5">
                  <c:v>6.85</c:v>
                </c:pt>
                <c:pt idx="6">
                  <c:v>7.24</c:v>
                </c:pt>
                <c:pt idx="7">
                  <c:v>7.8</c:v>
                </c:pt>
                <c:pt idx="8">
                  <c:v>8.99</c:v>
                </c:pt>
              </c:numCache>
            </c:numRef>
          </c:yVal>
          <c:smooth val="0"/>
        </c:ser>
        <c:ser>
          <c:idx val="17"/>
          <c:order val="15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5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'mix results pure'!$W$91:$W$106</c:f>
              <c:numCache>
                <c:ptCount val="16"/>
                <c:pt idx="0">
                  <c:v>11</c:v>
                </c:pt>
                <c:pt idx="1">
                  <c:v>59.895406522939275</c:v>
                </c:pt>
                <c:pt idx="2">
                  <c:v>71.5964158365886</c:v>
                </c:pt>
                <c:pt idx="3">
                  <c:v>83.21546253173736</c:v>
                </c:pt>
                <c:pt idx="4">
                  <c:v>94.81611945332239</c:v>
                </c:pt>
                <c:pt idx="5">
                  <c:v>106.41565936173654</c:v>
                </c:pt>
                <c:pt idx="6">
                  <c:v>129.34545775640612</c:v>
                </c:pt>
                <c:pt idx="7">
                  <c:v>152.16886039991354</c:v>
                </c:pt>
                <c:pt idx="8">
                  <c:v>185.9725932789066</c:v>
                </c:pt>
                <c:pt idx="10">
                  <c:v>213.88750140494503</c:v>
                </c:pt>
                <c:pt idx="11">
                  <c:v>241.5991025305381</c:v>
                </c:pt>
                <c:pt idx="12">
                  <c:v>263.5247031776987</c:v>
                </c:pt>
                <c:pt idx="13">
                  <c:v>285.3791827780733</c:v>
                </c:pt>
                <c:pt idx="14">
                  <c:v>296.1569614999069</c:v>
                </c:pt>
                <c:pt idx="15">
                  <c:v>299.383659483556</c:v>
                </c:pt>
              </c:numCache>
            </c:numRef>
          </c:xVal>
          <c:yVal>
            <c:numRef>
              <c:f>'mix results pure'!$Y$91:$Y$106</c:f>
              <c:numCache>
                <c:ptCount val="16"/>
                <c:pt idx="0">
                  <c:v>4.54</c:v>
                </c:pt>
                <c:pt idx="1">
                  <c:v>5.95</c:v>
                </c:pt>
                <c:pt idx="2">
                  <c:v>6.07</c:v>
                </c:pt>
                <c:pt idx="3">
                  <c:v>6.17</c:v>
                </c:pt>
                <c:pt idx="4">
                  <c:v>6.25</c:v>
                </c:pt>
                <c:pt idx="5">
                  <c:v>6.33</c:v>
                </c:pt>
                <c:pt idx="6">
                  <c:v>6.47</c:v>
                </c:pt>
                <c:pt idx="7">
                  <c:v>6.6</c:v>
                </c:pt>
                <c:pt idx="8">
                  <c:v>6.78</c:v>
                </c:pt>
                <c:pt idx="10">
                  <c:v>6.93</c:v>
                </c:pt>
                <c:pt idx="11">
                  <c:v>7.09</c:v>
                </c:pt>
                <c:pt idx="12">
                  <c:v>7.24</c:v>
                </c:pt>
                <c:pt idx="13">
                  <c:v>7.43</c:v>
                </c:pt>
                <c:pt idx="14">
                  <c:v>7.54</c:v>
                </c:pt>
                <c:pt idx="15">
                  <c:v>7.58</c:v>
                </c:pt>
              </c:numCache>
            </c:numRef>
          </c:yVal>
          <c:smooth val="0"/>
        </c:ser>
        <c:ser>
          <c:idx val="20"/>
          <c:order val="16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5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8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20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22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23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'mix results pure'!$W$113:$W$139</c:f>
              <c:numCache>
                <c:ptCount val="27"/>
                <c:pt idx="0">
                  <c:v>11</c:v>
                </c:pt>
                <c:pt idx="1">
                  <c:v>106.41565936173654</c:v>
                </c:pt>
                <c:pt idx="2">
                  <c:v>152.16886039991354</c:v>
                </c:pt>
                <c:pt idx="3">
                  <c:v>163.41287146825283</c:v>
                </c:pt>
                <c:pt idx="4">
                  <c:v>185.9725932789066</c:v>
                </c:pt>
                <c:pt idx="5">
                  <c:v>197.2122043588009</c:v>
                </c:pt>
                <c:pt idx="6">
                  <c:v>208.28844686031275</c:v>
                </c:pt>
                <c:pt idx="7">
                  <c:v>219.44666356043385</c:v>
                </c:pt>
                <c:pt idx="8">
                  <c:v>241.5991025305381</c:v>
                </c:pt>
                <c:pt idx="9">
                  <c:v>263.5247031776987</c:v>
                </c:pt>
                <c:pt idx="10">
                  <c:v>296.1569614999069</c:v>
                </c:pt>
                <c:pt idx="11">
                  <c:v>328.4805989424508</c:v>
                </c:pt>
                <c:pt idx="12">
                  <c:v>349.9301939049922</c:v>
                </c:pt>
                <c:pt idx="13">
                  <c:v>371.1821609810236</c:v>
                </c:pt>
                <c:pt idx="14">
                  <c:v>392.386429243663</c:v>
                </c:pt>
                <c:pt idx="15">
                  <c:v>423.9267236938266</c:v>
                </c:pt>
                <c:pt idx="16">
                  <c:v>455.17758571107385</c:v>
                </c:pt>
                <c:pt idx="17">
                  <c:v>496.53667399848763</c:v>
                </c:pt>
                <c:pt idx="18">
                  <c:v>527.3033647949801</c:v>
                </c:pt>
                <c:pt idx="19">
                  <c:v>547.7302979462058</c:v>
                </c:pt>
                <c:pt idx="20">
                  <c:v>567.955921197674</c:v>
                </c:pt>
                <c:pt idx="21">
                  <c:v>588.205165212242</c:v>
                </c:pt>
                <c:pt idx="22">
                  <c:v>608.3001994556473</c:v>
                </c:pt>
                <c:pt idx="23">
                  <c:v>618.3713441128875</c:v>
                </c:pt>
                <c:pt idx="24">
                  <c:v>623.3442383317112</c:v>
                </c:pt>
                <c:pt idx="25">
                  <c:v>626.3255449462024</c:v>
                </c:pt>
              </c:numCache>
            </c:numRef>
          </c:xVal>
          <c:yVal>
            <c:numRef>
              <c:f>'mix results pure'!$Y$113:$Y$139</c:f>
              <c:numCache>
                <c:ptCount val="27"/>
                <c:pt idx="0">
                  <c:v>4.32</c:v>
                </c:pt>
                <c:pt idx="1">
                  <c:v>5.73</c:v>
                </c:pt>
                <c:pt idx="2">
                  <c:v>5.93</c:v>
                </c:pt>
                <c:pt idx="3">
                  <c:v>5.97</c:v>
                </c:pt>
                <c:pt idx="4">
                  <c:v>6.04</c:v>
                </c:pt>
                <c:pt idx="5">
                  <c:v>6.07</c:v>
                </c:pt>
                <c:pt idx="6">
                  <c:v>6.1</c:v>
                </c:pt>
                <c:pt idx="7">
                  <c:v>6.13</c:v>
                </c:pt>
                <c:pt idx="8">
                  <c:v>6.19</c:v>
                </c:pt>
                <c:pt idx="9">
                  <c:v>6.24</c:v>
                </c:pt>
                <c:pt idx="10">
                  <c:v>6.31</c:v>
                </c:pt>
                <c:pt idx="11">
                  <c:v>6.38</c:v>
                </c:pt>
                <c:pt idx="12">
                  <c:v>6.43</c:v>
                </c:pt>
                <c:pt idx="13">
                  <c:v>6.47</c:v>
                </c:pt>
                <c:pt idx="14">
                  <c:v>6.51</c:v>
                </c:pt>
                <c:pt idx="15">
                  <c:v>6.57</c:v>
                </c:pt>
                <c:pt idx="16">
                  <c:v>6.62</c:v>
                </c:pt>
                <c:pt idx="17">
                  <c:v>6.7</c:v>
                </c:pt>
                <c:pt idx="18">
                  <c:v>6.76</c:v>
                </c:pt>
                <c:pt idx="19">
                  <c:v>6.79</c:v>
                </c:pt>
                <c:pt idx="20">
                  <c:v>6.83</c:v>
                </c:pt>
                <c:pt idx="21">
                  <c:v>6.87</c:v>
                </c:pt>
                <c:pt idx="22">
                  <c:v>6.91</c:v>
                </c:pt>
                <c:pt idx="23">
                  <c:v>6.93</c:v>
                </c:pt>
                <c:pt idx="24">
                  <c:v>6.94</c:v>
                </c:pt>
                <c:pt idx="25">
                  <c:v>6.94</c:v>
                </c:pt>
              </c:numCache>
            </c:numRef>
          </c:yVal>
          <c:smooth val="0"/>
        </c:ser>
        <c:ser>
          <c:idx val="21"/>
          <c:order val="17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'mix results pure'!$W$39:$W$43</c:f>
              <c:numCache>
                <c:ptCount val="5"/>
                <c:pt idx="0">
                  <c:v>12.432854342825244</c:v>
                </c:pt>
                <c:pt idx="1">
                  <c:v>13.818036160800839</c:v>
                </c:pt>
                <c:pt idx="2">
                  <c:v>15.202670203940981</c:v>
                </c:pt>
                <c:pt idx="3">
                  <c:v>17.970299026592304</c:v>
                </c:pt>
                <c:pt idx="4">
                  <c:v>20.916992213051003</c:v>
                </c:pt>
              </c:numCache>
            </c:numRef>
          </c:xVal>
          <c:yVal>
            <c:numRef>
              <c:f>'mix results pure'!$Y$39:$Y$43</c:f>
              <c:numCache>
                <c:ptCount val="5"/>
                <c:pt idx="0">
                  <c:v>5.81</c:v>
                </c:pt>
                <c:pt idx="1">
                  <c:v>6.03</c:v>
                </c:pt>
                <c:pt idx="2">
                  <c:v>6.81</c:v>
                </c:pt>
                <c:pt idx="3">
                  <c:v>8.15</c:v>
                </c:pt>
                <c:pt idx="4">
                  <c:v>9.35</c:v>
                </c:pt>
              </c:numCache>
            </c:numRef>
          </c:yVal>
          <c:smooth val="0"/>
        </c:ser>
        <c:axId val="46370381"/>
        <c:axId val="14680246"/>
      </c:scatterChart>
      <c:scatterChart>
        <c:scatterStyle val="lineMarker"/>
        <c:varyColors val="0"/>
        <c:ser>
          <c:idx val="7"/>
          <c:order val="10"/>
          <c:tx>
            <c:v>dummy data for second x-axis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'mix results pure'!$U$3:$U$12</c:f>
              <c:numCache>
                <c:ptCount val="10"/>
                <c:pt idx="0">
                  <c:v>6</c:v>
                </c:pt>
                <c:pt idx="1">
                  <c:v>10</c:v>
                </c:pt>
                <c:pt idx="2">
                  <c:v>24</c:v>
                </c:pt>
                <c:pt idx="3">
                  <c:v>36</c:v>
                </c:pt>
                <c:pt idx="4">
                  <c:v>56</c:v>
                </c:pt>
                <c:pt idx="5">
                  <c:v>70</c:v>
                </c:pt>
                <c:pt idx="6">
                  <c:v>82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</c:numCache>
            </c:numRef>
          </c:xVal>
          <c:yVal>
            <c:numRef>
              <c:f>'mix results pure'!$V$3:$V$12</c:f>
              <c:numCache>
                <c:ptCount val="10"/>
                <c:pt idx="0">
                  <c:v>6.37</c:v>
                </c:pt>
                <c:pt idx="1">
                  <c:v>6.45</c:v>
                </c:pt>
                <c:pt idx="2">
                  <c:v>6.8</c:v>
                </c:pt>
                <c:pt idx="3">
                  <c:v>7</c:v>
                </c:pt>
                <c:pt idx="4">
                  <c:v>7.2</c:v>
                </c:pt>
                <c:pt idx="5">
                  <c:v>7.28</c:v>
                </c:pt>
                <c:pt idx="6">
                  <c:v>7.34</c:v>
                </c:pt>
                <c:pt idx="7">
                  <c:v>7.4</c:v>
                </c:pt>
                <c:pt idx="8">
                  <c:v>7.46</c:v>
                </c:pt>
                <c:pt idx="9">
                  <c:v>7.5</c:v>
                </c:pt>
              </c:numCache>
            </c:numRef>
          </c:yVal>
          <c:smooth val="0"/>
        </c:ser>
        <c:axId val="65013351"/>
        <c:axId val="48249248"/>
      </c:scatterChart>
      <c:valAx>
        <c:axId val="46370381"/>
        <c:scaling>
          <c:orientation val="minMax"/>
          <c:max val="1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Electroconductivity (EC), </a:t>
                </a:r>
                <a:r>
                  <a:rPr lang="en-US" cap="none" sz="1675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6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 cm</a:t>
                </a:r>
                <a:r>
                  <a:rPr lang="en-US" cap="none" sz="1675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6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(corrected to 25 °C)</a:t>
                </a:r>
              </a:p>
            </c:rich>
          </c:tx>
          <c:layout>
            <c:manualLayout>
              <c:xMode val="factor"/>
              <c:yMode val="factor"/>
              <c:x val="0.268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crossAx val="14680246"/>
        <c:crossesAt val="9"/>
        <c:crossBetween val="midCat"/>
        <c:dispUnits/>
        <c:majorUnit val="100"/>
      </c:valAx>
      <c:valAx>
        <c:axId val="14680246"/>
        <c:scaling>
          <c:orientation val="maxMin"/>
          <c:max val="9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0047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70381"/>
        <c:crosses val="autoZero"/>
        <c:crossBetween val="midCat"/>
        <c:dispUnits/>
      </c:valAx>
      <c:valAx>
        <c:axId val="65013351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8249248"/>
        <c:crosses val="max"/>
        <c:crossBetween val="midCat"/>
        <c:dispUnits/>
      </c:valAx>
      <c:valAx>
        <c:axId val="48249248"/>
        <c:scaling>
          <c:orientation val="maxMin"/>
        </c:scaling>
        <c:axPos val="l"/>
        <c:delete val="1"/>
        <c:majorTickMark val="out"/>
        <c:minorTickMark val="none"/>
        <c:tickLblPos val="none"/>
        <c:crossAx val="65013351"/>
        <c:crosses val="max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785"/>
          <c:w val="0.948"/>
          <c:h val="0.767"/>
        </c:manualLayout>
      </c:layout>
      <c:scatterChart>
        <c:scatterStyle val="lineMarker"/>
        <c:varyColors val="0"/>
        <c:ser>
          <c:idx val="0"/>
          <c:order val="0"/>
          <c:tx>
            <c:v>-logPCO2=10^-3.4x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'mix results pure'!$H$31:$H$32</c:f>
              <c:numCache>
                <c:ptCount val="2"/>
              </c:numCache>
            </c:numRef>
          </c:xVal>
          <c:yVal>
            <c:numRef>
              <c:f>'mix results pure'!$I$31:$I$32</c:f>
              <c:numCache>
                <c:ptCount val="2"/>
              </c:numCache>
            </c:numRef>
          </c:yVal>
          <c:smooth val="0"/>
        </c:ser>
        <c:ser>
          <c:idx val="1"/>
          <c:order val="1"/>
          <c:tx>
            <c:v>10^-3.1x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'mix results pure'!$H$40:$H$41</c:f>
              <c:numCache>
                <c:ptCount val="2"/>
              </c:numCache>
            </c:numRef>
          </c:xVal>
          <c:yVal>
            <c:numRef>
              <c:f>'mix results pure'!$I$40:$I$41</c:f>
              <c:numCache>
                <c:ptCount val="2"/>
              </c:numCache>
            </c:numRef>
          </c:yVal>
          <c:smooth val="0"/>
        </c:ser>
        <c:ser>
          <c:idx val="2"/>
          <c:order val="2"/>
          <c:tx>
            <c:v>10^-2.7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'mix results pure'!$H$43:$H$49</c:f>
              <c:numCache>
                <c:ptCount val="7"/>
              </c:numCache>
            </c:numRef>
          </c:xVal>
          <c:yVal>
            <c:numRef>
              <c:f>'mix results pure'!$I$43:$I$49</c:f>
              <c:numCache>
                <c:ptCount val="7"/>
              </c:numCache>
            </c:numRef>
          </c:yVal>
          <c:smooth val="0"/>
        </c:ser>
        <c:ser>
          <c:idx val="3"/>
          <c:order val="3"/>
          <c:tx>
            <c:v>10^-2.4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'mix results pure'!$H$52:$H$54</c:f>
              <c:numCache>
                <c:ptCount val="3"/>
              </c:numCache>
            </c:numRef>
          </c:xVal>
          <c:yVal>
            <c:numRef>
              <c:f>'mix results pure'!$I$52:$I$54</c:f>
              <c:numCache>
                <c:ptCount val="3"/>
              </c:numCache>
            </c:numRef>
          </c:yVal>
          <c:smooth val="0"/>
        </c:ser>
        <c:ser>
          <c:idx val="4"/>
          <c:order val="4"/>
          <c:tx>
            <c:v>SI=0.8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'mix results pure'!$H$60:$H$61</c:f>
              <c:numCache>
                <c:ptCount val="2"/>
              </c:numCache>
            </c:numRef>
          </c:xVal>
          <c:yVal>
            <c:numRef>
              <c:f>'mix results pure'!$I$60:$I$61</c:f>
              <c:numCache>
                <c:ptCount val="2"/>
              </c:numCache>
            </c:numRef>
          </c:yVal>
          <c:smooth val="0"/>
        </c:ser>
        <c:ser>
          <c:idx val="5"/>
          <c:order val="5"/>
          <c:tx>
            <c:v>Sicc=1.13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'mix results pure'!$H$63:$H$64</c:f>
              <c:numCache>
                <c:ptCount val="2"/>
              </c:numCache>
            </c:numRef>
          </c:xVal>
          <c:yVal>
            <c:numRef>
              <c:f>'mix results pure'!$I$63:$I$64</c:f>
              <c:numCache>
                <c:ptCount val="2"/>
              </c:numCache>
            </c:numRef>
          </c:yVal>
          <c:smooth val="0"/>
        </c:ser>
        <c:ser>
          <c:idx val="6"/>
          <c:order val="6"/>
          <c:tx>
            <c:v>Sicc= -2.5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'mix results pure'!$H$13:$H$17</c:f>
              <c:strCache>
                <c:ptCount val="5"/>
                <c:pt idx="4">
                  <c:v>EC</c:v>
                </c:pt>
              </c:strCache>
            </c:strRef>
          </c:xVal>
          <c:yVal>
            <c:numRef>
              <c:f>'mix results pure'!$I$13:$I$17</c:f>
              <c:numCache>
                <c:ptCount val="5"/>
                <c:pt idx="4">
                  <c:v>0</c:v>
                </c:pt>
              </c:numCache>
            </c:numRef>
          </c:yVal>
          <c:smooth val="0"/>
        </c:ser>
        <c:ser>
          <c:idx val="8"/>
          <c:order val="7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  <a:r>
                      <a:rPr lang="en-US" cap="none" sz="1575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-3.4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pure'!$K$3:$K$16</c:f>
              <c:numCache>
                <c:ptCount val="14"/>
                <c:pt idx="0">
                  <c:v>44.5</c:v>
                </c:pt>
                <c:pt idx="1">
                  <c:v>66</c:v>
                </c:pt>
                <c:pt idx="2">
                  <c:v>138</c:v>
                </c:pt>
                <c:pt idx="3">
                  <c:v>199</c:v>
                </c:pt>
                <c:pt idx="4">
                  <c:v>297</c:v>
                </c:pt>
                <c:pt idx="5">
                  <c:v>364</c:v>
                </c:pt>
                <c:pt idx="6">
                  <c:v>421</c:v>
                </c:pt>
                <c:pt idx="7">
                  <c:v>505</c:v>
                </c:pt>
                <c:pt idx="8">
                  <c:v>550</c:v>
                </c:pt>
                <c:pt idx="9">
                  <c:v>596</c:v>
                </c:pt>
              </c:numCache>
            </c:numRef>
          </c:xVal>
          <c:yVal>
            <c:numRef>
              <c:f>'mix results pure'!$L$3:$L$16</c:f>
              <c:numCache>
                <c:ptCount val="14"/>
                <c:pt idx="0">
                  <c:v>7.76</c:v>
                </c:pt>
                <c:pt idx="1">
                  <c:v>7.87</c:v>
                </c:pt>
                <c:pt idx="2">
                  <c:v>8.22</c:v>
                </c:pt>
                <c:pt idx="3">
                  <c:v>8.39</c:v>
                </c:pt>
                <c:pt idx="4">
                  <c:v>8.56</c:v>
                </c:pt>
                <c:pt idx="5">
                  <c:v>8.68</c:v>
                </c:pt>
              </c:numCache>
            </c:numRef>
          </c:yVal>
          <c:smooth val="0"/>
        </c:ser>
        <c:ser>
          <c:idx val="9"/>
          <c:order val="8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  <a:r>
                      <a:rPr lang="en-US" cap="none" sz="1575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-3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pure'!$N$3:$N$10</c:f>
              <c:numCache>
                <c:ptCount val="8"/>
                <c:pt idx="0">
                  <c:v>44.5</c:v>
                </c:pt>
                <c:pt idx="1">
                  <c:v>66</c:v>
                </c:pt>
                <c:pt idx="2">
                  <c:v>138</c:v>
                </c:pt>
                <c:pt idx="3">
                  <c:v>199</c:v>
                </c:pt>
                <c:pt idx="4">
                  <c:v>297</c:v>
                </c:pt>
                <c:pt idx="5">
                  <c:v>364</c:v>
                </c:pt>
                <c:pt idx="6">
                  <c:v>421</c:v>
                </c:pt>
                <c:pt idx="7">
                  <c:v>505</c:v>
                </c:pt>
              </c:numCache>
            </c:numRef>
          </c:xVal>
          <c:yVal>
            <c:numRef>
              <c:f>'mix results pure'!$O$3:$O$10</c:f>
              <c:numCache>
                <c:ptCount val="8"/>
                <c:pt idx="0">
                  <c:v>7.36</c:v>
                </c:pt>
                <c:pt idx="1">
                  <c:v>7.45</c:v>
                </c:pt>
                <c:pt idx="2">
                  <c:v>7.83</c:v>
                </c:pt>
                <c:pt idx="3">
                  <c:v>7.99</c:v>
                </c:pt>
                <c:pt idx="4">
                  <c:v>8.17</c:v>
                </c:pt>
                <c:pt idx="5">
                  <c:v>8.28</c:v>
                </c:pt>
                <c:pt idx="6">
                  <c:v>8.33</c:v>
                </c:pt>
                <c:pt idx="7">
                  <c:v>8.41</c:v>
                </c:pt>
              </c:numCache>
            </c:numRef>
          </c:yVal>
          <c:smooth val="1"/>
        </c:ser>
        <c:ser>
          <c:idx val="10"/>
          <c:order val="9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  <a:r>
                      <a:rPr lang="en-US" cap="none" sz="1575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-2.5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pure'!$Q$3:$Q$15</c:f>
              <c:numCache>
                <c:ptCount val="13"/>
                <c:pt idx="0">
                  <c:v>44.5</c:v>
                </c:pt>
                <c:pt idx="1">
                  <c:v>66</c:v>
                </c:pt>
                <c:pt idx="2">
                  <c:v>138</c:v>
                </c:pt>
                <c:pt idx="3">
                  <c:v>199</c:v>
                </c:pt>
                <c:pt idx="4">
                  <c:v>297</c:v>
                </c:pt>
                <c:pt idx="5">
                  <c:v>364</c:v>
                </c:pt>
                <c:pt idx="6">
                  <c:v>421</c:v>
                </c:pt>
                <c:pt idx="7">
                  <c:v>505</c:v>
                </c:pt>
                <c:pt idx="8">
                  <c:v>550</c:v>
                </c:pt>
                <c:pt idx="9">
                  <c:v>596</c:v>
                </c:pt>
                <c:pt idx="10">
                  <c:v>702</c:v>
                </c:pt>
              </c:numCache>
            </c:numRef>
          </c:xVal>
          <c:yVal>
            <c:numRef>
              <c:f>'mix results pure'!$R$3:$R$15</c:f>
              <c:numCache>
                <c:ptCount val="13"/>
                <c:pt idx="0">
                  <c:v>6.86</c:v>
                </c:pt>
                <c:pt idx="1">
                  <c:v>6.96</c:v>
                </c:pt>
                <c:pt idx="2">
                  <c:v>7.3</c:v>
                </c:pt>
                <c:pt idx="3">
                  <c:v>7.5</c:v>
                </c:pt>
                <c:pt idx="4">
                  <c:v>7.68</c:v>
                </c:pt>
                <c:pt idx="5">
                  <c:v>7.78</c:v>
                </c:pt>
                <c:pt idx="6">
                  <c:v>7.84</c:v>
                </c:pt>
                <c:pt idx="7">
                  <c:v>7.92</c:v>
                </c:pt>
                <c:pt idx="8">
                  <c:v>7.96</c:v>
                </c:pt>
                <c:pt idx="9">
                  <c:v>8.01</c:v>
                </c:pt>
                <c:pt idx="10">
                  <c:v>8.07</c:v>
                </c:pt>
              </c:numCache>
            </c:numRef>
          </c:yVal>
          <c:smooth val="0"/>
        </c:ser>
        <c:ser>
          <c:idx val="11"/>
          <c:order val="1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  <a:r>
                      <a:rPr lang="en-US" cap="none" sz="1575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pure'!$T$3:$T$13</c:f>
              <c:numCache>
                <c:ptCount val="11"/>
                <c:pt idx="0">
                  <c:v>45.5</c:v>
                </c:pt>
                <c:pt idx="1">
                  <c:v>66</c:v>
                </c:pt>
                <c:pt idx="2">
                  <c:v>138</c:v>
                </c:pt>
                <c:pt idx="3">
                  <c:v>199</c:v>
                </c:pt>
                <c:pt idx="4">
                  <c:v>297</c:v>
                </c:pt>
                <c:pt idx="5">
                  <c:v>364</c:v>
                </c:pt>
                <c:pt idx="6">
                  <c:v>421</c:v>
                </c:pt>
                <c:pt idx="7">
                  <c:v>505</c:v>
                </c:pt>
                <c:pt idx="8">
                  <c:v>550</c:v>
                </c:pt>
                <c:pt idx="9">
                  <c:v>596</c:v>
                </c:pt>
                <c:pt idx="10">
                  <c:v>702</c:v>
                </c:pt>
              </c:numCache>
            </c:numRef>
          </c:xVal>
          <c:yVal>
            <c:numRef>
              <c:f>'mix results pure'!$V$3:$V$13</c:f>
              <c:numCache>
                <c:ptCount val="11"/>
                <c:pt idx="0">
                  <c:v>6.37</c:v>
                </c:pt>
                <c:pt idx="1">
                  <c:v>6.45</c:v>
                </c:pt>
                <c:pt idx="2">
                  <c:v>6.8</c:v>
                </c:pt>
                <c:pt idx="3">
                  <c:v>7</c:v>
                </c:pt>
                <c:pt idx="4">
                  <c:v>7.2</c:v>
                </c:pt>
                <c:pt idx="5">
                  <c:v>7.28</c:v>
                </c:pt>
                <c:pt idx="6">
                  <c:v>7.34</c:v>
                </c:pt>
                <c:pt idx="7">
                  <c:v>7.4</c:v>
                </c:pt>
                <c:pt idx="8">
                  <c:v>7.46</c:v>
                </c:pt>
                <c:pt idx="9">
                  <c:v>7.5</c:v>
                </c:pt>
                <c:pt idx="10">
                  <c:v>7.57</c:v>
                </c:pt>
              </c:numCache>
            </c:numRef>
          </c:yVal>
          <c:smooth val="0"/>
        </c:ser>
        <c:ser>
          <c:idx val="12"/>
          <c:order val="11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+1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pure'!$H$22:$H$31</c:f>
              <c:numCache>
                <c:ptCount val="10"/>
                <c:pt idx="0">
                  <c:v>297</c:v>
                </c:pt>
                <c:pt idx="1">
                  <c:v>364</c:v>
                </c:pt>
                <c:pt idx="2">
                  <c:v>421</c:v>
                </c:pt>
                <c:pt idx="3">
                  <c:v>505</c:v>
                </c:pt>
                <c:pt idx="4">
                  <c:v>550</c:v>
                </c:pt>
                <c:pt idx="5">
                  <c:v>596</c:v>
                </c:pt>
                <c:pt idx="6">
                  <c:v>702</c:v>
                </c:pt>
                <c:pt idx="7">
                  <c:v>851</c:v>
                </c:pt>
                <c:pt idx="8">
                  <c:v>994</c:v>
                </c:pt>
              </c:numCache>
            </c:numRef>
          </c:xVal>
          <c:yVal>
            <c:numRef>
              <c:f>'mix results pure'!$I$22:$I$31</c:f>
              <c:numCache>
                <c:ptCount val="10"/>
                <c:pt idx="0">
                  <c:v>8.65</c:v>
                </c:pt>
                <c:pt idx="1">
                  <c:v>8.45</c:v>
                </c:pt>
                <c:pt idx="2">
                  <c:v>8.33</c:v>
                </c:pt>
                <c:pt idx="3">
                  <c:v>8.18</c:v>
                </c:pt>
                <c:pt idx="4">
                  <c:v>8.1</c:v>
                </c:pt>
                <c:pt idx="5">
                  <c:v>8.02</c:v>
                </c:pt>
                <c:pt idx="6">
                  <c:v>7.89</c:v>
                </c:pt>
                <c:pt idx="7">
                  <c:v>7.74</c:v>
                </c:pt>
                <c:pt idx="8">
                  <c:v>7.61</c:v>
                </c:pt>
              </c:numCache>
            </c:numRef>
          </c:yVal>
          <c:smooth val="0"/>
        </c:ser>
        <c:ser>
          <c:idx val="13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+0.5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pure'!$K$21:$K$31</c:f>
              <c:numCache>
                <c:ptCount val="11"/>
                <c:pt idx="0">
                  <c:v>199</c:v>
                </c:pt>
                <c:pt idx="1">
                  <c:v>297</c:v>
                </c:pt>
                <c:pt idx="2">
                  <c:v>364</c:v>
                </c:pt>
                <c:pt idx="3">
                  <c:v>421</c:v>
                </c:pt>
                <c:pt idx="4">
                  <c:v>505</c:v>
                </c:pt>
                <c:pt idx="5">
                  <c:v>550</c:v>
                </c:pt>
                <c:pt idx="6">
                  <c:v>596</c:v>
                </c:pt>
                <c:pt idx="7">
                  <c:v>702</c:v>
                </c:pt>
                <c:pt idx="8">
                  <c:v>851</c:v>
                </c:pt>
                <c:pt idx="9">
                  <c:v>994</c:v>
                </c:pt>
              </c:numCache>
            </c:numRef>
          </c:xVal>
          <c:yVal>
            <c:numRef>
              <c:f>'mix results pure'!$L$21:$L$31</c:f>
              <c:numCache>
                <c:ptCount val="11"/>
                <c:pt idx="0">
                  <c:v>8.49</c:v>
                </c:pt>
                <c:pt idx="1">
                  <c:v>8.13</c:v>
                </c:pt>
                <c:pt idx="2">
                  <c:v>7.95</c:v>
                </c:pt>
                <c:pt idx="3">
                  <c:v>7.82</c:v>
                </c:pt>
                <c:pt idx="4">
                  <c:v>7.66</c:v>
                </c:pt>
                <c:pt idx="5">
                  <c:v>7.59</c:v>
                </c:pt>
                <c:pt idx="6">
                  <c:v>7.51</c:v>
                </c:pt>
                <c:pt idx="7">
                  <c:v>7.38</c:v>
                </c:pt>
                <c:pt idx="8">
                  <c:v>7.24</c:v>
                </c:pt>
                <c:pt idx="9">
                  <c:v>7.11</c:v>
                </c:pt>
              </c:numCache>
            </c:numRef>
          </c:yVal>
          <c:smooth val="0"/>
        </c:ser>
        <c:ser>
          <c:idx val="14"/>
          <c:order val="13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pure'!$N$20:$N$31</c:f>
              <c:numCache>
                <c:ptCount val="12"/>
                <c:pt idx="0">
                  <c:v>138</c:v>
                </c:pt>
                <c:pt idx="1">
                  <c:v>199</c:v>
                </c:pt>
                <c:pt idx="2">
                  <c:v>297</c:v>
                </c:pt>
                <c:pt idx="3">
                  <c:v>364</c:v>
                </c:pt>
                <c:pt idx="4">
                  <c:v>421</c:v>
                </c:pt>
                <c:pt idx="5">
                  <c:v>505</c:v>
                </c:pt>
                <c:pt idx="6">
                  <c:v>550</c:v>
                </c:pt>
                <c:pt idx="7">
                  <c:v>596</c:v>
                </c:pt>
                <c:pt idx="8">
                  <c:v>702</c:v>
                </c:pt>
                <c:pt idx="9">
                  <c:v>851</c:v>
                </c:pt>
                <c:pt idx="10">
                  <c:v>994</c:v>
                </c:pt>
              </c:numCache>
            </c:numRef>
          </c:xVal>
          <c:yVal>
            <c:numRef>
              <c:f>'mix results pure'!$O$20:$O$31</c:f>
              <c:numCache>
                <c:ptCount val="12"/>
                <c:pt idx="0">
                  <c:v>8.31</c:v>
                </c:pt>
                <c:pt idx="1">
                  <c:v>7.97</c:v>
                </c:pt>
                <c:pt idx="2">
                  <c:v>7.62</c:v>
                </c:pt>
                <c:pt idx="3">
                  <c:v>7.45</c:v>
                </c:pt>
                <c:pt idx="4">
                  <c:v>7.31</c:v>
                </c:pt>
                <c:pt idx="5">
                  <c:v>7.16</c:v>
                </c:pt>
                <c:pt idx="6">
                  <c:v>7.08</c:v>
                </c:pt>
                <c:pt idx="7">
                  <c:v>7.01</c:v>
                </c:pt>
                <c:pt idx="8">
                  <c:v>6.88</c:v>
                </c:pt>
                <c:pt idx="9">
                  <c:v>6.74</c:v>
                </c:pt>
                <c:pt idx="10">
                  <c:v>6.61</c:v>
                </c:pt>
              </c:numCache>
            </c:numRef>
          </c:yVal>
          <c:smooth val="0"/>
        </c:ser>
        <c:ser>
          <c:idx val="15"/>
          <c:order val="14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-0.5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pure'!$Q$18:$Q$28</c:f>
              <c:numCache>
                <c:ptCount val="11"/>
                <c:pt idx="0">
                  <c:v>44.5</c:v>
                </c:pt>
                <c:pt idx="1">
                  <c:v>66</c:v>
                </c:pt>
                <c:pt idx="2">
                  <c:v>138</c:v>
                </c:pt>
                <c:pt idx="3">
                  <c:v>199</c:v>
                </c:pt>
                <c:pt idx="4">
                  <c:v>297</c:v>
                </c:pt>
                <c:pt idx="5">
                  <c:v>364</c:v>
                </c:pt>
                <c:pt idx="6">
                  <c:v>421</c:v>
                </c:pt>
                <c:pt idx="7">
                  <c:v>505</c:v>
                </c:pt>
                <c:pt idx="8">
                  <c:v>550</c:v>
                </c:pt>
                <c:pt idx="9">
                  <c:v>596</c:v>
                </c:pt>
                <c:pt idx="10">
                  <c:v>702</c:v>
                </c:pt>
              </c:numCache>
            </c:numRef>
          </c:xVal>
          <c:yVal>
            <c:numRef>
              <c:f>'mix results pure'!$R$18:$R$28</c:f>
              <c:numCache>
                <c:ptCount val="11"/>
                <c:pt idx="1">
                  <c:v>8.45</c:v>
                </c:pt>
                <c:pt idx="2">
                  <c:v>7.8</c:v>
                </c:pt>
                <c:pt idx="3">
                  <c:v>7.47</c:v>
                </c:pt>
                <c:pt idx="4">
                  <c:v>7.11</c:v>
                </c:pt>
                <c:pt idx="5">
                  <c:v>6.95</c:v>
                </c:pt>
                <c:pt idx="6">
                  <c:v>6.82</c:v>
                </c:pt>
                <c:pt idx="7">
                  <c:v>6.66</c:v>
                </c:pt>
                <c:pt idx="8">
                  <c:v>6.58</c:v>
                </c:pt>
                <c:pt idx="9">
                  <c:v>6.51</c:v>
                </c:pt>
                <c:pt idx="10">
                  <c:v>6.37</c:v>
                </c:pt>
              </c:numCache>
            </c:numRef>
          </c:yVal>
          <c:smooth val="0"/>
        </c:ser>
        <c:ser>
          <c:idx val="16"/>
          <c:order val="1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pure'!$T$19:$T$24</c:f>
              <c:numCache>
                <c:ptCount val="6"/>
                <c:pt idx="0">
                  <c:v>66</c:v>
                </c:pt>
                <c:pt idx="1">
                  <c:v>138</c:v>
                </c:pt>
                <c:pt idx="2">
                  <c:v>199</c:v>
                </c:pt>
                <c:pt idx="3">
                  <c:v>297</c:v>
                </c:pt>
                <c:pt idx="4">
                  <c:v>364</c:v>
                </c:pt>
                <c:pt idx="5">
                  <c:v>421</c:v>
                </c:pt>
              </c:numCache>
            </c:numRef>
          </c:xVal>
          <c:yVal>
            <c:numRef>
              <c:f>'mix results pure'!$V$19:$V$24</c:f>
              <c:numCache>
                <c:ptCount val="6"/>
                <c:pt idx="0">
                  <c:v>8</c:v>
                </c:pt>
                <c:pt idx="1">
                  <c:v>7.33</c:v>
                </c:pt>
                <c:pt idx="2">
                  <c:v>6.96</c:v>
                </c:pt>
                <c:pt idx="3">
                  <c:v>6.61</c:v>
                </c:pt>
                <c:pt idx="4">
                  <c:v>6.45</c:v>
                </c:pt>
                <c:pt idx="5">
                  <c:v>6.31</c:v>
                </c:pt>
              </c:numCache>
            </c:numRef>
          </c:yVal>
          <c:smooth val="0"/>
        </c:ser>
        <c:ser>
          <c:idx val="17"/>
          <c:order val="16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pure'!$Y$18:$Y$21</c:f>
              <c:numCache>
                <c:ptCount val="4"/>
                <c:pt idx="0">
                  <c:v>44.5</c:v>
                </c:pt>
                <c:pt idx="1">
                  <c:v>66</c:v>
                </c:pt>
                <c:pt idx="2">
                  <c:v>138</c:v>
                </c:pt>
                <c:pt idx="3">
                  <c:v>199</c:v>
                </c:pt>
              </c:numCache>
            </c:numRef>
          </c:xVal>
          <c:yVal>
            <c:numRef>
              <c:f>'mix results pure'!$Z$18:$Z$21</c:f>
              <c:numCache>
                <c:ptCount val="4"/>
                <c:pt idx="0">
                  <c:v>7.33</c:v>
                </c:pt>
                <c:pt idx="1">
                  <c:v>7.12</c:v>
                </c:pt>
                <c:pt idx="2">
                  <c:v>6.33</c:v>
                </c:pt>
                <c:pt idx="3">
                  <c:v>5.97</c:v>
                </c:pt>
              </c:numCache>
            </c:numRef>
          </c:yVal>
          <c:smooth val="0"/>
        </c:ser>
        <c:ser>
          <c:idx val="18"/>
          <c:order val="18"/>
          <c:tx>
            <c:v>10-1.5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  <a:r>
                      <a:rPr lang="en-US" cap="none" sz="1575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-1.5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pure'!$Y$4:$Y$12</c:f>
              <c:numCache>
                <c:ptCount val="9"/>
                <c:pt idx="0">
                  <c:v>66</c:v>
                </c:pt>
                <c:pt idx="1">
                  <c:v>138</c:v>
                </c:pt>
                <c:pt idx="2">
                  <c:v>199</c:v>
                </c:pt>
                <c:pt idx="3">
                  <c:v>297</c:v>
                </c:pt>
                <c:pt idx="4">
                  <c:v>364</c:v>
                </c:pt>
                <c:pt idx="5">
                  <c:v>421</c:v>
                </c:pt>
                <c:pt idx="6">
                  <c:v>505</c:v>
                </c:pt>
                <c:pt idx="7">
                  <c:v>550</c:v>
                </c:pt>
                <c:pt idx="8">
                  <c:v>596</c:v>
                </c:pt>
              </c:numCache>
            </c:numRef>
          </c:xVal>
          <c:yVal>
            <c:numRef>
              <c:f>'mix results pure'!$Z$4:$Z$12</c:f>
              <c:numCache>
                <c:ptCount val="9"/>
                <c:pt idx="0">
                  <c:v>5.95</c:v>
                </c:pt>
                <c:pt idx="1">
                  <c:v>6.3</c:v>
                </c:pt>
                <c:pt idx="2">
                  <c:v>6.5</c:v>
                </c:pt>
                <c:pt idx="3">
                  <c:v>6.68</c:v>
                </c:pt>
                <c:pt idx="4">
                  <c:v>6.78</c:v>
                </c:pt>
                <c:pt idx="5">
                  <c:v>6.84</c:v>
                </c:pt>
                <c:pt idx="6">
                  <c:v>6.92</c:v>
                </c:pt>
                <c:pt idx="7">
                  <c:v>6.96</c:v>
                </c:pt>
                <c:pt idx="8">
                  <c:v>7.01</c:v>
                </c:pt>
              </c:numCache>
            </c:numRef>
          </c:yVal>
          <c:smooth val="0"/>
        </c:ser>
        <c:ser>
          <c:idx val="19"/>
          <c:order val="19"/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pure'!$AC$25:$AC$26</c:f>
              <c:numCache>
                <c:ptCount val="2"/>
                <c:pt idx="0">
                  <c:v>596</c:v>
                </c:pt>
                <c:pt idx="1">
                  <c:v>596</c:v>
                </c:pt>
              </c:numCache>
            </c:numRef>
          </c:xVal>
          <c:yVal>
            <c:numRef>
              <c:f>'mix results pure'!$AD$25:$AD$26</c:f>
              <c:numCache>
                <c:ptCount val="2"/>
                <c:pt idx="0">
                  <c:v>7.01</c:v>
                </c:pt>
                <c:pt idx="1">
                  <c:v>8.02</c:v>
                </c:pt>
              </c:numCache>
            </c:numRef>
          </c:yVal>
          <c:smooth val="0"/>
        </c:ser>
        <c:ser>
          <c:idx val="20"/>
          <c:order val="20"/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pure'!$Q$8:$Q$12</c:f>
              <c:numCache>
                <c:ptCount val="5"/>
                <c:pt idx="0">
                  <c:v>364</c:v>
                </c:pt>
                <c:pt idx="1">
                  <c:v>421</c:v>
                </c:pt>
                <c:pt idx="2">
                  <c:v>505</c:v>
                </c:pt>
                <c:pt idx="3">
                  <c:v>550</c:v>
                </c:pt>
                <c:pt idx="4">
                  <c:v>596</c:v>
                </c:pt>
              </c:numCache>
            </c:numRef>
          </c:xVal>
          <c:yVal>
            <c:numRef>
              <c:f>'mix results pure'!$R$8:$R$12</c:f>
              <c:numCache>
                <c:ptCount val="5"/>
                <c:pt idx="0">
                  <c:v>7.78</c:v>
                </c:pt>
                <c:pt idx="1">
                  <c:v>7.84</c:v>
                </c:pt>
                <c:pt idx="2">
                  <c:v>7.92</c:v>
                </c:pt>
                <c:pt idx="3">
                  <c:v>7.96</c:v>
                </c:pt>
                <c:pt idx="4">
                  <c:v>8.01</c:v>
                </c:pt>
              </c:numCache>
            </c:numRef>
          </c:yVal>
          <c:smooth val="0"/>
        </c:ser>
        <c:ser>
          <c:idx val="21"/>
          <c:order val="21"/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2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'mix results pure'!$AC$28:$AC$29</c:f>
              <c:numCache>
                <c:ptCount val="2"/>
                <c:pt idx="0">
                  <c:v>297</c:v>
                </c:pt>
                <c:pt idx="1">
                  <c:v>596</c:v>
                </c:pt>
              </c:numCache>
            </c:numRef>
          </c:xVal>
          <c:yVal>
            <c:numRef>
              <c:f>'mix results pure'!$AD$28:$AD$29</c:f>
              <c:numCache>
                <c:ptCount val="2"/>
                <c:pt idx="0">
                  <c:v>8.13</c:v>
                </c:pt>
                <c:pt idx="1">
                  <c:v>8.01</c:v>
                </c:pt>
              </c:numCache>
            </c:numRef>
          </c:yVal>
          <c:smooth val="0"/>
        </c:ser>
        <c:axId val="31590049"/>
        <c:axId val="15874986"/>
      </c:scatterChart>
      <c:scatterChart>
        <c:scatterStyle val="lineMarker"/>
        <c:varyColors val="0"/>
        <c:ser>
          <c:idx val="7"/>
          <c:order val="17"/>
          <c:tx>
            <c:v>dummy data for second x-axis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'mix results pure'!$U$3:$U$12</c:f>
              <c:numCache>
                <c:ptCount val="10"/>
                <c:pt idx="0">
                  <c:v>6</c:v>
                </c:pt>
                <c:pt idx="1">
                  <c:v>10</c:v>
                </c:pt>
                <c:pt idx="2">
                  <c:v>24</c:v>
                </c:pt>
                <c:pt idx="3">
                  <c:v>36</c:v>
                </c:pt>
                <c:pt idx="4">
                  <c:v>56</c:v>
                </c:pt>
                <c:pt idx="5">
                  <c:v>70</c:v>
                </c:pt>
                <c:pt idx="6">
                  <c:v>82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</c:numCache>
            </c:numRef>
          </c:xVal>
          <c:yVal>
            <c:numRef>
              <c:f>'mix results pure'!$V$3:$V$12</c:f>
              <c:numCache>
                <c:ptCount val="10"/>
                <c:pt idx="0">
                  <c:v>6.37</c:v>
                </c:pt>
                <c:pt idx="1">
                  <c:v>6.45</c:v>
                </c:pt>
                <c:pt idx="2">
                  <c:v>6.8</c:v>
                </c:pt>
                <c:pt idx="3">
                  <c:v>7</c:v>
                </c:pt>
                <c:pt idx="4">
                  <c:v>7.2</c:v>
                </c:pt>
                <c:pt idx="5">
                  <c:v>7.28</c:v>
                </c:pt>
                <c:pt idx="6">
                  <c:v>7.34</c:v>
                </c:pt>
                <c:pt idx="7">
                  <c:v>7.4</c:v>
                </c:pt>
                <c:pt idx="8">
                  <c:v>7.46</c:v>
                </c:pt>
                <c:pt idx="9">
                  <c:v>7.5</c:v>
                </c:pt>
              </c:numCache>
            </c:numRef>
          </c:yVal>
          <c:smooth val="0"/>
        </c:ser>
        <c:axId val="8657147"/>
        <c:axId val="10805460"/>
      </c:scatterChart>
      <c:valAx>
        <c:axId val="31590049"/>
        <c:scaling>
          <c:orientation val="minMax"/>
          <c:max val="1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Electroconductivity (EC), </a:t>
                </a: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 cm</a:t>
                </a:r>
                <a:r>
                  <a:rPr lang="en-US" cap="none" sz="1575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(corrected to 25 °C)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74986"/>
        <c:crosses val="max"/>
        <c:crossBetween val="midCat"/>
        <c:dispUnits/>
        <c:majorUnit val="100"/>
      </c:valAx>
      <c:valAx>
        <c:axId val="15874986"/>
        <c:scaling>
          <c:orientation val="maxMin"/>
          <c:min val="6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1590049"/>
        <c:crosses val="max"/>
        <c:crossBetween val="midCat"/>
        <c:dispUnits/>
      </c:valAx>
      <c:valAx>
        <c:axId val="8657147"/>
        <c:scaling>
          <c:orientation val="minMax"/>
          <c:max val="100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0805460"/>
        <c:crosses val="max"/>
        <c:crossBetween val="midCat"/>
        <c:dispUnits/>
      </c:valAx>
      <c:valAx>
        <c:axId val="10805460"/>
        <c:scaling>
          <c:orientation val="maxMin"/>
        </c:scaling>
        <c:axPos val="l"/>
        <c:delete val="1"/>
        <c:majorTickMark val="out"/>
        <c:minorTickMark val="none"/>
        <c:tickLblPos val="none"/>
        <c:crossAx val="8657147"/>
        <c:crosses val="max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11"/>
          <c:w val="0.82025"/>
          <c:h val="0.90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0"/>
            </c:trendlineLbl>
          </c:trendline>
          <c:xVal>
            <c:numRef>
              <c:f>'all waters'!$AK$16:$AK$121</c:f>
              <c:numCache>
                <c:ptCount val="106"/>
                <c:pt idx="0">
                  <c:v>0</c:v>
                </c:pt>
                <c:pt idx="1">
                  <c:v>0.1620462778147409</c:v>
                </c:pt>
                <c:pt idx="2">
                  <c:v>0.3240925556294818</c:v>
                </c:pt>
                <c:pt idx="3">
                  <c:v>0.5401542593824696</c:v>
                </c:pt>
                <c:pt idx="4">
                  <c:v>0.6481851112589636</c:v>
                </c:pt>
                <c:pt idx="5">
                  <c:v>0.7562159631354575</c:v>
                </c:pt>
                <c:pt idx="6">
                  <c:v>0.8642468150119514</c:v>
                </c:pt>
                <c:pt idx="7">
                  <c:v>0.9722776668884454</c:v>
                </c:pt>
                <c:pt idx="8">
                  <c:v>1.0803085187649393</c:v>
                </c:pt>
                <c:pt idx="9">
                  <c:v>1.1883393706414334</c:v>
                </c:pt>
                <c:pt idx="10">
                  <c:v>1.2963702225179272</c:v>
                </c:pt>
                <c:pt idx="11">
                  <c:v>1.404401074394421</c:v>
                </c:pt>
                <c:pt idx="12">
                  <c:v>1.512431926270915</c:v>
                </c:pt>
                <c:pt idx="13">
                  <c:v>1.620462778147409</c:v>
                </c:pt>
                <c:pt idx="14">
                  <c:v>1.7284936300239029</c:v>
                </c:pt>
                <c:pt idx="15">
                  <c:v>1.8365244819003967</c:v>
                </c:pt>
                <c:pt idx="16">
                  <c:v>1.9445553337768908</c:v>
                </c:pt>
                <c:pt idx="17">
                  <c:v>2.052586185653385</c:v>
                </c:pt>
                <c:pt idx="18">
                  <c:v>2.1606170375298785</c:v>
                </c:pt>
                <c:pt idx="19">
                  <c:v>2.268647889406372</c:v>
                </c:pt>
                <c:pt idx="20">
                  <c:v>2.3766787412828667</c:v>
                </c:pt>
                <c:pt idx="21">
                  <c:v>2.4847095931593604</c:v>
                </c:pt>
                <c:pt idx="22">
                  <c:v>2.5927404450358544</c:v>
                </c:pt>
                <c:pt idx="23">
                  <c:v>2.7007712969123485</c:v>
                </c:pt>
                <c:pt idx="24">
                  <c:v>2.808802148788842</c:v>
                </c:pt>
                <c:pt idx="25">
                  <c:v>2.9168330006653362</c:v>
                </c:pt>
                <c:pt idx="26">
                  <c:v>3.02486385254183</c:v>
                </c:pt>
                <c:pt idx="27">
                  <c:v>3.132894704418324</c:v>
                </c:pt>
                <c:pt idx="28">
                  <c:v>3.240925556294818</c:v>
                </c:pt>
                <c:pt idx="29">
                  <c:v>3.3489564081713117</c:v>
                </c:pt>
                <c:pt idx="30">
                  <c:v>3.4569872600478058</c:v>
                </c:pt>
                <c:pt idx="31">
                  <c:v>3.5650181119242994</c:v>
                </c:pt>
                <c:pt idx="32">
                  <c:v>3.6730489638007935</c:v>
                </c:pt>
                <c:pt idx="33">
                  <c:v>3.7810798156772876</c:v>
                </c:pt>
                <c:pt idx="34">
                  <c:v>3.8891106675537817</c:v>
                </c:pt>
                <c:pt idx="35">
                  <c:v>3.9971415194302757</c:v>
                </c:pt>
                <c:pt idx="36">
                  <c:v>4.10517237130677</c:v>
                </c:pt>
                <c:pt idx="37">
                  <c:v>4.213203223183263</c:v>
                </c:pt>
                <c:pt idx="38">
                  <c:v>4.321234075059757</c:v>
                </c:pt>
                <c:pt idx="39">
                  <c:v>4.429264926936251</c:v>
                </c:pt>
                <c:pt idx="40">
                  <c:v>4.537295778812744</c:v>
                </c:pt>
                <c:pt idx="41">
                  <c:v>4.645326630689239</c:v>
                </c:pt>
                <c:pt idx="42">
                  <c:v>4.753357482565733</c:v>
                </c:pt>
                <c:pt idx="43">
                  <c:v>4.861388334442227</c:v>
                </c:pt>
                <c:pt idx="44">
                  <c:v>4.969419186318721</c:v>
                </c:pt>
                <c:pt idx="45">
                  <c:v>5.077450038195215</c:v>
                </c:pt>
                <c:pt idx="46">
                  <c:v>5.185480890071709</c:v>
                </c:pt>
                <c:pt idx="47">
                  <c:v>5.293511741948202</c:v>
                </c:pt>
                <c:pt idx="48">
                  <c:v>5.401542593824697</c:v>
                </c:pt>
                <c:pt idx="49">
                  <c:v>5.50957344570119</c:v>
                </c:pt>
                <c:pt idx="50">
                  <c:v>5.617604297577684</c:v>
                </c:pt>
                <c:pt idx="51">
                  <c:v>5.7256351494541775</c:v>
                </c:pt>
                <c:pt idx="52">
                  <c:v>5.8336660013306725</c:v>
                </c:pt>
                <c:pt idx="53">
                  <c:v>5.941696853207166</c:v>
                </c:pt>
                <c:pt idx="54">
                  <c:v>6.04972770508366</c:v>
                </c:pt>
                <c:pt idx="55">
                  <c:v>6.157758556960155</c:v>
                </c:pt>
                <c:pt idx="56">
                  <c:v>6.265789408836648</c:v>
                </c:pt>
                <c:pt idx="57">
                  <c:v>6.373820260713142</c:v>
                </c:pt>
                <c:pt idx="58">
                  <c:v>6.481851112589636</c:v>
                </c:pt>
                <c:pt idx="59">
                  <c:v>6.58988196446613</c:v>
                </c:pt>
                <c:pt idx="60">
                  <c:v>6.697912816342623</c:v>
                </c:pt>
                <c:pt idx="61">
                  <c:v>6.8059436682191174</c:v>
                </c:pt>
                <c:pt idx="62">
                  <c:v>6.9139745200956115</c:v>
                </c:pt>
                <c:pt idx="63">
                  <c:v>7.022005371972106</c:v>
                </c:pt>
                <c:pt idx="64">
                  <c:v>7.130036223848599</c:v>
                </c:pt>
                <c:pt idx="65">
                  <c:v>7.238067075725094</c:v>
                </c:pt>
                <c:pt idx="66">
                  <c:v>7.346097927601587</c:v>
                </c:pt>
                <c:pt idx="67">
                  <c:v>7.454128779478081</c:v>
                </c:pt>
                <c:pt idx="68">
                  <c:v>7.562159631354575</c:v>
                </c:pt>
                <c:pt idx="69">
                  <c:v>7.670190483231069</c:v>
                </c:pt>
                <c:pt idx="70">
                  <c:v>7.778221335107563</c:v>
                </c:pt>
                <c:pt idx="71">
                  <c:v>7.8862521869840565</c:v>
                </c:pt>
                <c:pt idx="72">
                  <c:v>7.9942830388605515</c:v>
                </c:pt>
                <c:pt idx="73">
                  <c:v>8.102313890737044</c:v>
                </c:pt>
                <c:pt idx="74">
                  <c:v>8.21034474261354</c:v>
                </c:pt>
                <c:pt idx="75">
                  <c:v>8.318375594490032</c:v>
                </c:pt>
                <c:pt idx="76">
                  <c:v>8.426406446366526</c:v>
                </c:pt>
                <c:pt idx="77">
                  <c:v>8.53443729824302</c:v>
                </c:pt>
                <c:pt idx="78">
                  <c:v>8.642468150119514</c:v>
                </c:pt>
                <c:pt idx="79">
                  <c:v>8.750499001996008</c:v>
                </c:pt>
                <c:pt idx="80">
                  <c:v>8.858529853872502</c:v>
                </c:pt>
                <c:pt idx="81">
                  <c:v>8.966560705748996</c:v>
                </c:pt>
                <c:pt idx="82">
                  <c:v>9.074591557625489</c:v>
                </c:pt>
                <c:pt idx="83">
                  <c:v>9.182622409501985</c:v>
                </c:pt>
                <c:pt idx="84">
                  <c:v>9.290653261378479</c:v>
                </c:pt>
                <c:pt idx="85">
                  <c:v>9.398684113254971</c:v>
                </c:pt>
                <c:pt idx="86">
                  <c:v>9.506714965131467</c:v>
                </c:pt>
                <c:pt idx="87">
                  <c:v>9.614745817007961</c:v>
                </c:pt>
                <c:pt idx="88">
                  <c:v>9.722776668884453</c:v>
                </c:pt>
                <c:pt idx="89">
                  <c:v>9.830807520760947</c:v>
                </c:pt>
                <c:pt idx="90">
                  <c:v>9.938838372637441</c:v>
                </c:pt>
                <c:pt idx="91">
                  <c:v>10.046869224513935</c:v>
                </c:pt>
                <c:pt idx="92">
                  <c:v>10.15490007639043</c:v>
                </c:pt>
                <c:pt idx="93">
                  <c:v>10.262930928266922</c:v>
                </c:pt>
                <c:pt idx="94">
                  <c:v>10.370961780143418</c:v>
                </c:pt>
                <c:pt idx="95">
                  <c:v>10.478992632019912</c:v>
                </c:pt>
                <c:pt idx="96">
                  <c:v>10.587023483896404</c:v>
                </c:pt>
                <c:pt idx="97">
                  <c:v>10.6950543357729</c:v>
                </c:pt>
                <c:pt idx="98">
                  <c:v>10.803085187649394</c:v>
                </c:pt>
                <c:pt idx="99">
                  <c:v>10.911116039525886</c:v>
                </c:pt>
                <c:pt idx="100">
                  <c:v>11.01914689140238</c:v>
                </c:pt>
                <c:pt idx="101">
                  <c:v>11.127177743278876</c:v>
                </c:pt>
                <c:pt idx="102">
                  <c:v>11.235208595155369</c:v>
                </c:pt>
                <c:pt idx="103">
                  <c:v>11.343239447031863</c:v>
                </c:pt>
                <c:pt idx="104">
                  <c:v>11.451270298908355</c:v>
                </c:pt>
                <c:pt idx="105">
                  <c:v>11.55930115078485</c:v>
                </c:pt>
              </c:numCache>
            </c:numRef>
          </c:xVal>
          <c:yVal>
            <c:numRef>
              <c:f>'all waters'!$AL$16:$AL$121</c:f>
              <c:numCache>
                <c:ptCount val="106"/>
                <c:pt idx="0">
                  <c:v>11.469795524908445</c:v>
                </c:pt>
                <c:pt idx="1">
                  <c:v>27.692268633098287</c:v>
                </c:pt>
                <c:pt idx="2">
                  <c:v>44.50873277486466</c:v>
                </c:pt>
                <c:pt idx="3">
                  <c:v>65.65855541509684</c:v>
                </c:pt>
                <c:pt idx="4">
                  <c:v>76.16612449697293</c:v>
                </c:pt>
                <c:pt idx="5">
                  <c:v>86.6015923913181</c:v>
                </c:pt>
                <c:pt idx="6">
                  <c:v>96.98765721996014</c:v>
                </c:pt>
                <c:pt idx="7">
                  <c:v>107.32716008418262</c:v>
                </c:pt>
                <c:pt idx="8">
                  <c:v>117.62250507248399</c:v>
                </c:pt>
                <c:pt idx="9">
                  <c:v>127.87576020073278</c:v>
                </c:pt>
                <c:pt idx="10">
                  <c:v>138.08872869053548</c:v>
                </c:pt>
                <c:pt idx="11">
                  <c:v>148.263000841727</c:v>
                </c:pt>
                <c:pt idx="12">
                  <c:v>158.3999927652857</c:v>
                </c:pt>
                <c:pt idx="13">
                  <c:v>168.50097594983836</c:v>
                </c:pt>
                <c:pt idx="14">
                  <c:v>178.56710026539074</c:v>
                </c:pt>
                <c:pt idx="15">
                  <c:v>188.59941216076265</c:v>
                </c:pt>
                <c:pt idx="16">
                  <c:v>198.59886927044352</c:v>
                </c:pt>
                <c:pt idx="17">
                  <c:v>208.5663522915716</c:v>
                </c:pt>
                <c:pt idx="18">
                  <c:v>218.5026747527885</c:v>
                </c:pt>
                <c:pt idx="19">
                  <c:v>228.40859113224593</c:v>
                </c:pt>
                <c:pt idx="20">
                  <c:v>238.28480366654816</c:v>
                </c:pt>
                <c:pt idx="21">
                  <c:v>248.13196810982694</c:v>
                </c:pt>
                <c:pt idx="22">
                  <c:v>257.9506986421273</c:v>
                </c:pt>
                <c:pt idx="23">
                  <c:v>267.7415720820047</c:v>
                </c:pt>
                <c:pt idx="24">
                  <c:v>277.5051315251287</c:v>
                </c:pt>
                <c:pt idx="25">
                  <c:v>287.24188950562257</c:v>
                </c:pt>
                <c:pt idx="26">
                  <c:v>296.95233075767806</c:v>
                </c:pt>
                <c:pt idx="27">
                  <c:v>306.63691464013135</c:v>
                </c:pt>
                <c:pt idx="28">
                  <c:v>316.2960772750817</c:v>
                </c:pt>
                <c:pt idx="29">
                  <c:v>325.9302334424853</c:v>
                </c:pt>
                <c:pt idx="30">
                  <c:v>335.5397782653803</c:v>
                </c:pt>
                <c:pt idx="31">
                  <c:v>345.12508871457095</c:v>
                </c:pt>
                <c:pt idx="32">
                  <c:v>354.68652495689355</c:v>
                </c:pt>
                <c:pt idx="33">
                  <c:v>364.2244315673594</c:v>
                </c:pt>
                <c:pt idx="34">
                  <c:v>373.7391386223471</c:v>
                </c:pt>
                <c:pt idx="35">
                  <c:v>383.2309626884378</c:v>
                </c:pt>
                <c:pt idx="36">
                  <c:v>392.7002077193594</c:v>
                </c:pt>
                <c:pt idx="37">
                  <c:v>402.1471658717323</c:v>
                </c:pt>
                <c:pt idx="38">
                  <c:v>411.5721182488283</c:v>
                </c:pt>
                <c:pt idx="39">
                  <c:v>420.97533558030676</c:v>
                </c:pt>
                <c:pt idx="40">
                  <c:v>430.35707884484304</c:v>
                </c:pt>
                <c:pt idx="41">
                  <c:v>439.71759984167335</c:v>
                </c:pt>
                <c:pt idx="42">
                  <c:v>449.0571417163178</c:v>
                </c:pt>
                <c:pt idx="43">
                  <c:v>458.37593944510127</c:v>
                </c:pt>
                <c:pt idx="44">
                  <c:v>467.6742202825312</c:v>
                </c:pt>
                <c:pt idx="45">
                  <c:v>476.95220417511257</c:v>
                </c:pt>
                <c:pt idx="46">
                  <c:v>486.2101041447733</c:v>
                </c:pt>
                <c:pt idx="47">
                  <c:v>495.4481266447049</c:v>
                </c:pt>
                <c:pt idx="48">
                  <c:v>504.66647189012315</c:v>
                </c:pt>
                <c:pt idx="49">
                  <c:v>513.8653341661721</c:v>
                </c:pt>
                <c:pt idx="50">
                  <c:v>523.0449021149669</c:v>
                </c:pt>
                <c:pt idx="51">
                  <c:v>532.2053590035539</c:v>
                </c:pt>
                <c:pt idx="52">
                  <c:v>541.3468829743915</c:v>
                </c:pt>
                <c:pt idx="53">
                  <c:v>550.4696472797893</c:v>
                </c:pt>
                <c:pt idx="54">
                  <c:v>559.5738205016036</c:v>
                </c:pt>
                <c:pt idx="55">
                  <c:v>568.6595667573584</c:v>
                </c:pt>
                <c:pt idx="56">
                  <c:v>577.7270458938555</c:v>
                </c:pt>
                <c:pt idx="57">
                  <c:v>586.776413669226</c:v>
                </c:pt>
                <c:pt idx="58">
                  <c:v>595.8078219243055</c:v>
                </c:pt>
                <c:pt idx="59">
                  <c:v>604.8214187441151</c:v>
                </c:pt>
                <c:pt idx="60">
                  <c:v>613.8173486101763</c:v>
                </c:pt>
                <c:pt idx="61">
                  <c:v>622.7957525443175</c:v>
                </c:pt>
                <c:pt idx="62">
                  <c:v>631.7567682445707</c:v>
                </c:pt>
                <c:pt idx="63">
                  <c:v>640.7005302137122</c:v>
                </c:pt>
                <c:pt idx="64">
                  <c:v>649.6271698809508</c:v>
                </c:pt>
                <c:pt idx="65">
                  <c:v>658.5368157172231</c:v>
                </c:pt>
                <c:pt idx="66">
                  <c:v>667.4295933445264</c:v>
                </c:pt>
                <c:pt idx="67">
                  <c:v>676.3056256396758</c:v>
                </c:pt>
                <c:pt idx="68">
                  <c:v>685.1650328328476</c:v>
                </c:pt>
                <c:pt idx="69">
                  <c:v>694.0079326012394</c:v>
                </c:pt>
                <c:pt idx="70">
                  <c:v>702.8344401581577</c:v>
                </c:pt>
                <c:pt idx="71">
                  <c:v>711.6446683378098</c:v>
                </c:pt>
                <c:pt idx="72">
                  <c:v>720.4387276760697</c:v>
                </c:pt>
                <c:pt idx="73">
                  <c:v>729.2167264874531</c:v>
                </c:pt>
                <c:pt idx="74">
                  <c:v>737.978770938535</c:v>
                </c:pt>
                <c:pt idx="75">
                  <c:v>746.7249651180111</c:v>
                </c:pt>
                <c:pt idx="76">
                  <c:v>755.4554111036047</c:v>
                </c:pt>
                <c:pt idx="77">
                  <c:v>764.1702090259912</c:v>
                </c:pt>
                <c:pt idx="78">
                  <c:v>772.869457129919</c:v>
                </c:pt>
                <c:pt idx="79">
                  <c:v>781.5532518326739</c:v>
                </c:pt>
                <c:pt idx="80">
                  <c:v>790.2216877800377</c:v>
                </c:pt>
                <c:pt idx="81">
                  <c:v>798.8748578998782</c:v>
                </c:pt>
                <c:pt idx="82">
                  <c:v>807.5128534534977</c:v>
                </c:pt>
                <c:pt idx="83">
                  <c:v>816.1357640848535</c:v>
                </c:pt>
                <c:pt idx="84">
                  <c:v>824.7436778677736</c:v>
                </c:pt>
                <c:pt idx="85">
                  <c:v>833.3366813512594</c:v>
                </c:pt>
                <c:pt idx="86">
                  <c:v>841.9148596029826</c:v>
                </c:pt>
                <c:pt idx="87">
                  <c:v>850.4782962510635</c:v>
                </c:pt>
                <c:pt idx="88">
                  <c:v>859.0270735242191</c:v>
                </c:pt>
                <c:pt idx="89">
                  <c:v>867.5612722903583</c:v>
                </c:pt>
                <c:pt idx="90">
                  <c:v>876.080972093707</c:v>
                </c:pt>
                <c:pt idx="91">
                  <c:v>884.5862511905276</c:v>
                </c:pt>
                <c:pt idx="92">
                  <c:v>893.0771865835046</c:v>
                </c:pt>
                <c:pt idx="93">
                  <c:v>901.553854054859</c:v>
                </c:pt>
                <c:pt idx="94">
                  <c:v>910.0163281982503</c:v>
                </c:pt>
                <c:pt idx="95">
                  <c:v>918.4646824495213</c:v>
                </c:pt>
                <c:pt idx="96">
                  <c:v>926.8989891163469</c:v>
                </c:pt>
                <c:pt idx="97">
                  <c:v>935.3193194068226</c:v>
                </c:pt>
                <c:pt idx="98">
                  <c:v>943.7257434570557</c:v>
                </c:pt>
                <c:pt idx="99">
                  <c:v>952.1183303577932</c:v>
                </c:pt>
                <c:pt idx="100">
                  <c:v>960.4971481801342</c:v>
                </c:pt>
                <c:pt idx="101">
                  <c:v>968.8622640003659</c:v>
                </c:pt>
                <c:pt idx="102">
                  <c:v>977.2137439239577</c:v>
                </c:pt>
                <c:pt idx="103">
                  <c:v>985.551653108759</c:v>
                </c:pt>
                <c:pt idx="104">
                  <c:v>993.8760557874222</c:v>
                </c:pt>
                <c:pt idx="105">
                  <c:v>1002.1870152890931</c:v>
                </c:pt>
              </c:numCache>
            </c:numRef>
          </c:yVal>
          <c:smooth val="0"/>
        </c:ser>
        <c:axId val="30140277"/>
        <c:axId val="2827038"/>
      </c:scatterChart>
      <c:valAx>
        <c:axId val="30140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Ca+Mg meq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7038"/>
        <c:crosses val="autoZero"/>
        <c:crossBetween val="midCat"/>
        <c:dispUnits/>
      </c:valAx>
      <c:valAx>
        <c:axId val="2827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402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42675"/>
          <c:w val="0.151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4875"/>
          <c:w val="0.64875"/>
          <c:h val="0.94375"/>
        </c:manualLayout>
      </c:layout>
      <c:scatterChart>
        <c:scatterStyle val="line"/>
        <c:varyColors val="0"/>
        <c:ser>
          <c:idx val="0"/>
          <c:order val="0"/>
          <c:tx>
            <c:v>pure closed systems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'mix results pure'!$N$35:$N$45</c:f>
              <c:numCache>
                <c:ptCount val="11"/>
                <c:pt idx="0">
                  <c:v>-3.49</c:v>
                </c:pt>
                <c:pt idx="1">
                  <c:v>-2.97</c:v>
                </c:pt>
                <c:pt idx="2">
                  <c:v>-2.44</c:v>
                </c:pt>
                <c:pt idx="4">
                  <c:v>-1.97</c:v>
                </c:pt>
                <c:pt idx="5">
                  <c:v>-1.74</c:v>
                </c:pt>
                <c:pt idx="6">
                  <c:v>-1.62</c:v>
                </c:pt>
                <c:pt idx="9">
                  <c:v>-1.09</c:v>
                </c:pt>
                <c:pt idx="10">
                  <c:v>-0.9</c:v>
                </c:pt>
              </c:numCache>
            </c:numRef>
          </c:xVal>
          <c:yVal>
            <c:numRef>
              <c:f>'mix results pure'!$O$35:$O$45</c:f>
              <c:numCache>
                <c:ptCount val="11"/>
                <c:pt idx="0">
                  <c:v>49.274150642243676</c:v>
                </c:pt>
                <c:pt idx="1">
                  <c:v>48.41439737143426</c:v>
                </c:pt>
                <c:pt idx="2">
                  <c:v>46.78767710069804</c:v>
                </c:pt>
                <c:pt idx="3">
                  <c:v>44.192927592013476</c:v>
                </c:pt>
                <c:pt idx="4">
                  <c:v>44.09458222204529</c:v>
                </c:pt>
                <c:pt idx="5">
                  <c:v>42.11280996243824</c:v>
                </c:pt>
                <c:pt idx="6">
                  <c:v>40.97495071480761</c:v>
                </c:pt>
                <c:pt idx="7">
                  <c:v>38.781050793536885</c:v>
                </c:pt>
                <c:pt idx="8">
                  <c:v>37.079915006336414</c:v>
                </c:pt>
                <c:pt idx="9">
                  <c:v>35.522575405175914</c:v>
                </c:pt>
                <c:pt idx="10">
                  <c:v>32.22481513762758</c:v>
                </c:pt>
              </c:numCache>
            </c:numRef>
          </c:yVal>
          <c:smooth val="0"/>
        </c:ser>
        <c:axId val="25443343"/>
        <c:axId val="27663496"/>
      </c:scatterChart>
      <c:valAx>
        <c:axId val="25443343"/>
        <c:scaling>
          <c:orientation val="minMax"/>
          <c:max val="-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logP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16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  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 calcite saturation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63496"/>
        <c:crosses val="autoZero"/>
        <c:crossBetween val="midCat"/>
        <c:dispUnits/>
      </c:valAx>
      <c:valAx>
        <c:axId val="27663496"/>
        <c:scaling>
          <c:orientation val="maxMin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dcp</a:t>
                </a:r>
              </a:p>
            </c:rich>
          </c:tx>
          <c:layout>
            <c:manualLayout>
              <c:xMode val="factor"/>
              <c:yMode val="factor"/>
              <c:x val="0.268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808080"/>
            </a:solidFill>
          </a:ln>
        </c:spPr>
        <c:crossAx val="25443343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4"/>
          <c:y val="0.75125"/>
          <c:w val="0.30075"/>
          <c:h val="0.04875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2225"/>
          <c:w val="0.81825"/>
          <c:h val="0.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0"/>
            </c:trendlineLbl>
          </c:trendline>
          <c:xVal>
            <c:numRef>
              <c:f>'all waters'!$AL$16:$AL$121</c:f>
              <c:numCache/>
            </c:numRef>
          </c:xVal>
          <c:yVal>
            <c:numRef>
              <c:f>'all waters'!$AK$16:$AK$121</c:f>
              <c:numCache/>
            </c:numRef>
          </c:yVal>
          <c:smooth val="0"/>
        </c:ser>
        <c:axId val="47644873"/>
        <c:axId val="26150674"/>
      </c:scatterChart>
      <c:valAx>
        <c:axId val="47644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Electroconductivity 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S/cm) corrected to 25 degrees C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50674"/>
        <c:crosses val="autoZero"/>
        <c:crossBetween val="midCat"/>
        <c:dispUnits/>
      </c:valAx>
      <c:valAx>
        <c:axId val="26150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(Ca+Mg) meq/litre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448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"/>
          <c:y val="0.4975"/>
          <c:w val="0.142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0.37575</cdr:x>
      <cdr:y>0.7095</cdr:y>
    </cdr:from>
    <cdr:to>
      <cdr:x>0.86325</cdr:x>
      <cdr:y>0.809</cdr:y>
    </cdr:to>
    <cdr:sp>
      <cdr:nvSpPr>
        <cdr:cNvPr id="1" name="Text Box 15"/>
        <cdr:cNvSpPr txBox="1">
          <a:spLocks noChangeArrowheads="1"/>
        </cdr:cNvSpPr>
      </cdr:nvSpPr>
      <cdr:spPr>
        <a:xfrm>
          <a:off x="3486150" y="4038600"/>
          <a:ext cx="4524375" cy="571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27432" rIns="36576" bIns="0"/>
        <a:p>
          <a:pPr algn="r">
            <a:defRPr/>
          </a:pPr>
          <a:r>
            <a:rPr lang="en-US" cap="none" sz="150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Low-Mg calcite dissolution in pure water at 10 °C Water diagnosis from field parameters: pH and EC </a:t>
          </a:r>
        </a:p>
      </cdr:txBody>
    </cdr:sp>
  </cdr:relSizeAnchor>
  <cdr:relSizeAnchor xmlns:cdr="http://schemas.openxmlformats.org/drawingml/2006/chartDrawing">
    <cdr:from>
      <cdr:x>0.0115</cdr:x>
      <cdr:y>0.024</cdr:y>
    </cdr:from>
    <cdr:to>
      <cdr:x>0.067</cdr:x>
      <cdr:y>0.10575</cdr:y>
    </cdr:to>
    <cdr:sp>
      <cdr:nvSpPr>
        <cdr:cNvPr id="2" name="Rectangle 16"/>
        <cdr:cNvSpPr>
          <a:spLocks/>
        </cdr:cNvSpPr>
      </cdr:nvSpPr>
      <cdr:spPr>
        <a:xfrm>
          <a:off x="104775" y="133350"/>
          <a:ext cx="514350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0.07325</cdr:x>
      <cdr:y>0.63075</cdr:y>
    </cdr:from>
    <cdr:to>
      <cdr:x>0.16575</cdr:x>
      <cdr:y>0.69775</cdr:y>
    </cdr:to>
    <cdr:sp>
      <cdr:nvSpPr>
        <cdr:cNvPr id="3" name="Text Box 17"/>
        <cdr:cNvSpPr txBox="1">
          <a:spLocks noChangeArrowheads="1"/>
        </cdr:cNvSpPr>
      </cdr:nvSpPr>
      <cdr:spPr>
        <a:xfrm>
          <a:off x="676275" y="3590925"/>
          <a:ext cx="8572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4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600" b="0" i="0" u="none" baseline="-25000">
              <a:solidFill>
                <a:srgbClr val="00008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0.1385</cdr:x>
      <cdr:y>0.0665</cdr:y>
    </cdr:from>
    <cdr:to>
      <cdr:x>0.19575</cdr:x>
      <cdr:y>0.1175</cdr:y>
    </cdr:to>
    <cdr:sp>
      <cdr:nvSpPr>
        <cdr:cNvPr id="4" name="Text Box 18"/>
        <cdr:cNvSpPr txBox="1">
          <a:spLocks noChangeArrowheads="1"/>
        </cdr:cNvSpPr>
      </cdr:nvSpPr>
      <cdr:spPr>
        <a:xfrm>
          <a:off x="1285875" y="371475"/>
          <a:ext cx="533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0.45</a:t>
          </a:r>
        </a:p>
      </cdr:txBody>
    </cdr:sp>
  </cdr:relSizeAnchor>
  <cdr:relSizeAnchor xmlns:cdr="http://schemas.openxmlformats.org/drawingml/2006/chartDrawing">
    <cdr:from>
      <cdr:x>0.22225</cdr:x>
      <cdr:y>0.0665</cdr:y>
    </cdr:from>
    <cdr:to>
      <cdr:x>0.2795</cdr:x>
      <cdr:y>0.1175</cdr:y>
    </cdr:to>
    <cdr:sp>
      <cdr:nvSpPr>
        <cdr:cNvPr id="5" name="Text Box 19"/>
        <cdr:cNvSpPr txBox="1">
          <a:spLocks noChangeArrowheads="1"/>
        </cdr:cNvSpPr>
      </cdr:nvSpPr>
      <cdr:spPr>
        <a:xfrm>
          <a:off x="2057400" y="371475"/>
          <a:ext cx="533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0.98</a:t>
          </a:r>
        </a:p>
      </cdr:txBody>
    </cdr:sp>
  </cdr:relSizeAnchor>
  <cdr:relSizeAnchor xmlns:cdr="http://schemas.openxmlformats.org/drawingml/2006/chartDrawing">
    <cdr:from>
      <cdr:x>0.31475</cdr:x>
      <cdr:y>0.0665</cdr:y>
    </cdr:from>
    <cdr:to>
      <cdr:x>0.37225</cdr:x>
      <cdr:y>0.1175</cdr:y>
    </cdr:to>
    <cdr:sp>
      <cdr:nvSpPr>
        <cdr:cNvPr id="6" name="Text Box 20"/>
        <cdr:cNvSpPr txBox="1">
          <a:spLocks noChangeArrowheads="1"/>
        </cdr:cNvSpPr>
      </cdr:nvSpPr>
      <cdr:spPr>
        <a:xfrm>
          <a:off x="2914650" y="371475"/>
          <a:ext cx="533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1.53</a:t>
          </a:r>
        </a:p>
      </cdr:txBody>
    </cdr:sp>
  </cdr:relSizeAnchor>
  <cdr:relSizeAnchor xmlns:cdr="http://schemas.openxmlformats.org/drawingml/2006/chartDrawing">
    <cdr:from>
      <cdr:x>0.40925</cdr:x>
      <cdr:y>0.0665</cdr:y>
    </cdr:from>
    <cdr:to>
      <cdr:x>0.4665</cdr:x>
      <cdr:y>0.1175</cdr:y>
    </cdr:to>
    <cdr:sp>
      <cdr:nvSpPr>
        <cdr:cNvPr id="7" name="Text Box 21"/>
        <cdr:cNvSpPr txBox="1">
          <a:spLocks noChangeArrowheads="1"/>
        </cdr:cNvSpPr>
      </cdr:nvSpPr>
      <cdr:spPr>
        <a:xfrm>
          <a:off x="3800475" y="371475"/>
          <a:ext cx="533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2.10</a:t>
          </a:r>
        </a:p>
      </cdr:txBody>
    </cdr:sp>
  </cdr:relSizeAnchor>
  <cdr:relSizeAnchor xmlns:cdr="http://schemas.openxmlformats.org/drawingml/2006/chartDrawing">
    <cdr:from>
      <cdr:x>0.49475</cdr:x>
      <cdr:y>0.0665</cdr:y>
    </cdr:from>
    <cdr:to>
      <cdr:x>0.552</cdr:x>
      <cdr:y>0.1175</cdr:y>
    </cdr:to>
    <cdr:sp>
      <cdr:nvSpPr>
        <cdr:cNvPr id="8" name="Text Box 22"/>
        <cdr:cNvSpPr txBox="1">
          <a:spLocks noChangeArrowheads="1"/>
        </cdr:cNvSpPr>
      </cdr:nvSpPr>
      <cdr:spPr>
        <a:xfrm>
          <a:off x="4591050" y="371475"/>
          <a:ext cx="533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2.67</a:t>
          </a:r>
        </a:p>
      </cdr:txBody>
    </cdr:sp>
  </cdr:relSizeAnchor>
  <cdr:relSizeAnchor xmlns:cdr="http://schemas.openxmlformats.org/drawingml/2006/chartDrawing">
    <cdr:from>
      <cdr:x>0.57575</cdr:x>
      <cdr:y>0.0665</cdr:y>
    </cdr:from>
    <cdr:to>
      <cdr:x>0.63325</cdr:x>
      <cdr:y>0.1175</cdr:y>
    </cdr:to>
    <cdr:sp>
      <cdr:nvSpPr>
        <cdr:cNvPr id="9" name="Text Box 23"/>
        <cdr:cNvSpPr txBox="1">
          <a:spLocks noChangeArrowheads="1"/>
        </cdr:cNvSpPr>
      </cdr:nvSpPr>
      <cdr:spPr>
        <a:xfrm>
          <a:off x="5343525" y="371475"/>
          <a:ext cx="533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3.26</a:t>
          </a:r>
        </a:p>
      </cdr:txBody>
    </cdr:sp>
  </cdr:relSizeAnchor>
  <cdr:relSizeAnchor xmlns:cdr="http://schemas.openxmlformats.org/drawingml/2006/chartDrawing">
    <cdr:from>
      <cdr:x>0.6745</cdr:x>
      <cdr:y>0.0665</cdr:y>
    </cdr:from>
    <cdr:to>
      <cdr:x>0.732</cdr:x>
      <cdr:y>0.1175</cdr:y>
    </cdr:to>
    <cdr:sp>
      <cdr:nvSpPr>
        <cdr:cNvPr id="10" name="Text Box 24"/>
        <cdr:cNvSpPr txBox="1">
          <a:spLocks noChangeArrowheads="1"/>
        </cdr:cNvSpPr>
      </cdr:nvSpPr>
      <cdr:spPr>
        <a:xfrm>
          <a:off x="6257925" y="371475"/>
          <a:ext cx="533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3.87</a:t>
          </a:r>
        </a:p>
      </cdr:txBody>
    </cdr:sp>
  </cdr:relSizeAnchor>
  <cdr:relSizeAnchor xmlns:cdr="http://schemas.openxmlformats.org/drawingml/2006/chartDrawing">
    <cdr:from>
      <cdr:x>0.76025</cdr:x>
      <cdr:y>0.0665</cdr:y>
    </cdr:from>
    <cdr:to>
      <cdr:x>0.8175</cdr:x>
      <cdr:y>0.1175</cdr:y>
    </cdr:to>
    <cdr:sp>
      <cdr:nvSpPr>
        <cdr:cNvPr id="11" name="Text Box 25"/>
        <cdr:cNvSpPr txBox="1">
          <a:spLocks noChangeArrowheads="1"/>
        </cdr:cNvSpPr>
      </cdr:nvSpPr>
      <cdr:spPr>
        <a:xfrm>
          <a:off x="7058025" y="371475"/>
          <a:ext cx="533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4.49</a:t>
          </a:r>
        </a:p>
      </cdr:txBody>
    </cdr:sp>
  </cdr:relSizeAnchor>
  <cdr:relSizeAnchor xmlns:cdr="http://schemas.openxmlformats.org/drawingml/2006/chartDrawing">
    <cdr:from>
      <cdr:x>0.84575</cdr:x>
      <cdr:y>0.0665</cdr:y>
    </cdr:from>
    <cdr:to>
      <cdr:x>0.902</cdr:x>
      <cdr:y>0.1175</cdr:y>
    </cdr:to>
    <cdr:sp>
      <cdr:nvSpPr>
        <cdr:cNvPr id="12" name="Text Box 26"/>
        <cdr:cNvSpPr txBox="1">
          <a:spLocks noChangeArrowheads="1"/>
        </cdr:cNvSpPr>
      </cdr:nvSpPr>
      <cdr:spPr>
        <a:xfrm>
          <a:off x="7848600" y="371475"/>
          <a:ext cx="5238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5.12</a:t>
          </a:r>
        </a:p>
      </cdr:txBody>
    </cdr:sp>
  </cdr:relSizeAnchor>
  <cdr:relSizeAnchor xmlns:cdr="http://schemas.openxmlformats.org/drawingml/2006/chartDrawing">
    <cdr:from>
      <cdr:x>0.92775</cdr:x>
      <cdr:y>0.0665</cdr:y>
    </cdr:from>
    <cdr:to>
      <cdr:x>0.9735</cdr:x>
      <cdr:y>0.1175</cdr:y>
    </cdr:to>
    <cdr:sp>
      <cdr:nvSpPr>
        <cdr:cNvPr id="13" name="Text Box 27"/>
        <cdr:cNvSpPr txBox="1">
          <a:spLocks noChangeArrowheads="1"/>
        </cdr:cNvSpPr>
      </cdr:nvSpPr>
      <cdr:spPr>
        <a:xfrm>
          <a:off x="8610600" y="371475"/>
          <a:ext cx="428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5.77</a:t>
          </a:r>
        </a:p>
      </cdr:txBody>
    </cdr:sp>
  </cdr:relSizeAnchor>
  <cdr:relSizeAnchor xmlns:cdr="http://schemas.openxmlformats.org/drawingml/2006/chartDrawing">
    <cdr:from>
      <cdr:x>0.06725</cdr:x>
      <cdr:y>0.0665</cdr:y>
    </cdr:from>
    <cdr:to>
      <cdr:x>0.1235</cdr:x>
      <cdr:y>0.11825</cdr:y>
    </cdr:to>
    <cdr:sp>
      <cdr:nvSpPr>
        <cdr:cNvPr id="14" name="Text Box 32"/>
        <cdr:cNvSpPr txBox="1">
          <a:spLocks noChangeArrowheads="1"/>
        </cdr:cNvSpPr>
      </cdr:nvSpPr>
      <cdr:spPr>
        <a:xfrm>
          <a:off x="619125" y="371475"/>
          <a:ext cx="523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0.13225</cdr:x>
      <cdr:y>0.63375</cdr:y>
    </cdr:from>
    <cdr:to>
      <cdr:x>0.19325</cdr:x>
      <cdr:y>0.75725</cdr:y>
    </cdr:to>
    <cdr:sp>
      <cdr:nvSpPr>
        <cdr:cNvPr id="15" name="Rectangle 33"/>
        <cdr:cNvSpPr>
          <a:spLocks/>
        </cdr:cNvSpPr>
      </cdr:nvSpPr>
      <cdr:spPr>
        <a:xfrm rot="1968576">
          <a:off x="1219200" y="3600450"/>
          <a:ext cx="561975" cy="704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0.37825</cdr:x>
      <cdr:y>0.005</cdr:y>
    </cdr:from>
    <cdr:to>
      <cdr:x>0.657</cdr:x>
      <cdr:y>0.09125</cdr:y>
    </cdr:to>
    <cdr:sp>
      <cdr:nvSpPr>
        <cdr:cNvPr id="16" name="Text Box 34"/>
        <cdr:cNvSpPr txBox="1">
          <a:spLocks noChangeArrowheads="1"/>
        </cdr:cNvSpPr>
      </cdr:nvSpPr>
      <cdr:spPr>
        <a:xfrm>
          <a:off x="3505200" y="19050"/>
          <a:ext cx="25908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(Ca+Mg), mmol L</a:t>
          </a:r>
          <a:r>
            <a:rPr lang="en-US" cap="none" sz="16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-1</a:t>
          </a:r>
        </a:p>
      </cdr:txBody>
    </cdr:sp>
  </cdr:relSizeAnchor>
  <cdr:relSizeAnchor xmlns:cdr="http://schemas.openxmlformats.org/drawingml/2006/chartDrawing">
    <cdr:from>
      <cdr:x>0.90575</cdr:x>
      <cdr:y>0.7185</cdr:y>
    </cdr:from>
    <cdr:to>
      <cdr:x>0.97825</cdr:x>
      <cdr:y>0.82525</cdr:y>
    </cdr:to>
    <cdr:sp>
      <cdr:nvSpPr>
        <cdr:cNvPr id="17" name="TextBox 1"/>
        <cdr:cNvSpPr txBox="1">
          <a:spLocks noChangeArrowheads="1"/>
        </cdr:cNvSpPr>
      </cdr:nvSpPr>
      <cdr:spPr>
        <a:xfrm>
          <a:off x="8410575" y="4086225"/>
          <a:ext cx="6762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38100</xdr:colOff>
      <xdr:row>14</xdr:row>
      <xdr:rowOff>57150</xdr:rowOff>
    </xdr:from>
    <xdr:to>
      <xdr:col>60</xdr:col>
      <xdr:colOff>200025</xdr:colOff>
      <xdr:row>39</xdr:row>
      <xdr:rowOff>38100</xdr:rowOff>
    </xdr:to>
    <xdr:graphicFrame>
      <xdr:nvGraphicFramePr>
        <xdr:cNvPr id="1" name="Chart 5"/>
        <xdr:cNvGraphicFramePr/>
      </xdr:nvGraphicFramePr>
      <xdr:xfrm>
        <a:off x="19745325" y="3114675"/>
        <a:ext cx="83343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0.01775</cdr:y>
    </cdr:from>
    <cdr:to>
      <cdr:x>0.01925</cdr:x>
      <cdr:y>0.07925</cdr:y>
    </cdr:to>
    <cdr:sp>
      <cdr:nvSpPr>
        <cdr:cNvPr id="1" name="Rectangle 2"/>
        <cdr:cNvSpPr>
          <a:spLocks/>
        </cdr:cNvSpPr>
      </cdr:nvSpPr>
      <cdr:spPr>
        <a:xfrm>
          <a:off x="28575" y="95250"/>
          <a:ext cx="15240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0.12225</cdr:x>
      <cdr:y>0.0695</cdr:y>
    </cdr:from>
    <cdr:to>
      <cdr:x>0.183</cdr:x>
      <cdr:y>0.10775</cdr:y>
    </cdr:to>
    <cdr:sp>
      <cdr:nvSpPr>
        <cdr:cNvPr id="2" name="Text Box 4"/>
        <cdr:cNvSpPr txBox="1">
          <a:spLocks noChangeArrowheads="1"/>
        </cdr:cNvSpPr>
      </cdr:nvSpPr>
      <cdr:spPr>
        <a:xfrm>
          <a:off x="1133475" y="390525"/>
          <a:ext cx="561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0.45</a:t>
          </a:r>
        </a:p>
      </cdr:txBody>
    </cdr:sp>
  </cdr:relSizeAnchor>
  <cdr:relSizeAnchor xmlns:cdr="http://schemas.openxmlformats.org/drawingml/2006/chartDrawing">
    <cdr:from>
      <cdr:x>0.207</cdr:x>
      <cdr:y>0.0695</cdr:y>
    </cdr:from>
    <cdr:to>
      <cdr:x>0.2685</cdr:x>
      <cdr:y>0.10775</cdr:y>
    </cdr:to>
    <cdr:sp>
      <cdr:nvSpPr>
        <cdr:cNvPr id="3" name="Text Box 5"/>
        <cdr:cNvSpPr txBox="1">
          <a:spLocks noChangeArrowheads="1"/>
        </cdr:cNvSpPr>
      </cdr:nvSpPr>
      <cdr:spPr>
        <a:xfrm>
          <a:off x="1914525" y="390525"/>
          <a:ext cx="571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0.98</a:t>
          </a:r>
        </a:p>
      </cdr:txBody>
    </cdr:sp>
  </cdr:relSizeAnchor>
  <cdr:relSizeAnchor xmlns:cdr="http://schemas.openxmlformats.org/drawingml/2006/chartDrawing">
    <cdr:from>
      <cdr:x>0.3005</cdr:x>
      <cdr:y>0.0695</cdr:y>
    </cdr:from>
    <cdr:to>
      <cdr:x>0.362</cdr:x>
      <cdr:y>0.10775</cdr:y>
    </cdr:to>
    <cdr:sp>
      <cdr:nvSpPr>
        <cdr:cNvPr id="4" name="Text Box 6"/>
        <cdr:cNvSpPr txBox="1">
          <a:spLocks noChangeArrowheads="1"/>
        </cdr:cNvSpPr>
      </cdr:nvSpPr>
      <cdr:spPr>
        <a:xfrm>
          <a:off x="2781300" y="390525"/>
          <a:ext cx="571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1.53</a:t>
          </a:r>
        </a:p>
      </cdr:txBody>
    </cdr:sp>
  </cdr:relSizeAnchor>
  <cdr:relSizeAnchor xmlns:cdr="http://schemas.openxmlformats.org/drawingml/2006/chartDrawing">
    <cdr:from>
      <cdr:x>0.38975</cdr:x>
      <cdr:y>0.0695</cdr:y>
    </cdr:from>
    <cdr:to>
      <cdr:x>0.45025</cdr:x>
      <cdr:y>0.10775</cdr:y>
    </cdr:to>
    <cdr:sp>
      <cdr:nvSpPr>
        <cdr:cNvPr id="5" name="Text Box 7"/>
        <cdr:cNvSpPr txBox="1">
          <a:spLocks noChangeArrowheads="1"/>
        </cdr:cNvSpPr>
      </cdr:nvSpPr>
      <cdr:spPr>
        <a:xfrm>
          <a:off x="3619500" y="390525"/>
          <a:ext cx="561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2.10</a:t>
          </a:r>
        </a:p>
      </cdr:txBody>
    </cdr:sp>
  </cdr:relSizeAnchor>
  <cdr:relSizeAnchor xmlns:cdr="http://schemas.openxmlformats.org/drawingml/2006/chartDrawing">
    <cdr:from>
      <cdr:x>0.4725</cdr:x>
      <cdr:y>0.0695</cdr:y>
    </cdr:from>
    <cdr:to>
      <cdr:x>0.53325</cdr:x>
      <cdr:y>0.10775</cdr:y>
    </cdr:to>
    <cdr:sp>
      <cdr:nvSpPr>
        <cdr:cNvPr id="6" name="Text Box 8"/>
        <cdr:cNvSpPr txBox="1">
          <a:spLocks noChangeArrowheads="1"/>
        </cdr:cNvSpPr>
      </cdr:nvSpPr>
      <cdr:spPr>
        <a:xfrm>
          <a:off x="4381500" y="390525"/>
          <a:ext cx="561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2.67</a:t>
          </a:r>
        </a:p>
      </cdr:txBody>
    </cdr:sp>
  </cdr:relSizeAnchor>
  <cdr:relSizeAnchor xmlns:cdr="http://schemas.openxmlformats.org/drawingml/2006/chartDrawing">
    <cdr:from>
      <cdr:x>0.56525</cdr:x>
      <cdr:y>0.0695</cdr:y>
    </cdr:from>
    <cdr:to>
      <cdr:x>0.62675</cdr:x>
      <cdr:y>0.10775</cdr:y>
    </cdr:to>
    <cdr:sp>
      <cdr:nvSpPr>
        <cdr:cNvPr id="7" name="Text Box 9"/>
        <cdr:cNvSpPr txBox="1">
          <a:spLocks noChangeArrowheads="1"/>
        </cdr:cNvSpPr>
      </cdr:nvSpPr>
      <cdr:spPr>
        <a:xfrm>
          <a:off x="5248275" y="390525"/>
          <a:ext cx="571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3.26</a:t>
          </a:r>
        </a:p>
      </cdr:txBody>
    </cdr:sp>
  </cdr:relSizeAnchor>
  <cdr:relSizeAnchor xmlns:cdr="http://schemas.openxmlformats.org/drawingml/2006/chartDrawing">
    <cdr:from>
      <cdr:x>0.658</cdr:x>
      <cdr:y>0.0695</cdr:y>
    </cdr:from>
    <cdr:to>
      <cdr:x>0.7185</cdr:x>
      <cdr:y>0.10775</cdr:y>
    </cdr:to>
    <cdr:sp>
      <cdr:nvSpPr>
        <cdr:cNvPr id="8" name="Text Box 10"/>
        <cdr:cNvSpPr txBox="1">
          <a:spLocks noChangeArrowheads="1"/>
        </cdr:cNvSpPr>
      </cdr:nvSpPr>
      <cdr:spPr>
        <a:xfrm>
          <a:off x="6105525" y="390525"/>
          <a:ext cx="561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3.87</a:t>
          </a:r>
        </a:p>
      </cdr:txBody>
    </cdr:sp>
  </cdr:relSizeAnchor>
  <cdr:relSizeAnchor xmlns:cdr="http://schemas.openxmlformats.org/drawingml/2006/chartDrawing">
    <cdr:from>
      <cdr:x>0.739</cdr:x>
      <cdr:y>0.0695</cdr:y>
    </cdr:from>
    <cdr:to>
      <cdr:x>0.8005</cdr:x>
      <cdr:y>0.10775</cdr:y>
    </cdr:to>
    <cdr:sp>
      <cdr:nvSpPr>
        <cdr:cNvPr id="9" name="Text Box 11"/>
        <cdr:cNvSpPr txBox="1">
          <a:spLocks noChangeArrowheads="1"/>
        </cdr:cNvSpPr>
      </cdr:nvSpPr>
      <cdr:spPr>
        <a:xfrm>
          <a:off x="6858000" y="390525"/>
          <a:ext cx="571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4.49</a:t>
          </a:r>
        </a:p>
      </cdr:txBody>
    </cdr:sp>
  </cdr:relSizeAnchor>
  <cdr:relSizeAnchor xmlns:cdr="http://schemas.openxmlformats.org/drawingml/2006/chartDrawing">
    <cdr:from>
      <cdr:x>0.83</cdr:x>
      <cdr:y>0.0695</cdr:y>
    </cdr:from>
    <cdr:to>
      <cdr:x>0.8915</cdr:x>
      <cdr:y>0.10775</cdr:y>
    </cdr:to>
    <cdr:sp>
      <cdr:nvSpPr>
        <cdr:cNvPr id="10" name="Text Box 12"/>
        <cdr:cNvSpPr txBox="1">
          <a:spLocks noChangeArrowheads="1"/>
        </cdr:cNvSpPr>
      </cdr:nvSpPr>
      <cdr:spPr>
        <a:xfrm>
          <a:off x="7705725" y="390525"/>
          <a:ext cx="571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5.12</a:t>
          </a:r>
        </a:p>
      </cdr:txBody>
    </cdr:sp>
  </cdr:relSizeAnchor>
  <cdr:relSizeAnchor xmlns:cdr="http://schemas.openxmlformats.org/drawingml/2006/chartDrawing">
    <cdr:from>
      <cdr:x>0.9155</cdr:x>
      <cdr:y>0.0695</cdr:y>
    </cdr:from>
    <cdr:to>
      <cdr:x>0.963</cdr:x>
      <cdr:y>0.10775</cdr:y>
    </cdr:to>
    <cdr:sp>
      <cdr:nvSpPr>
        <cdr:cNvPr id="11" name="Text Box 13"/>
        <cdr:cNvSpPr txBox="1">
          <a:spLocks noChangeArrowheads="1"/>
        </cdr:cNvSpPr>
      </cdr:nvSpPr>
      <cdr:spPr>
        <a:xfrm>
          <a:off x="8496300" y="390525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5.77</a:t>
          </a:r>
        </a:p>
      </cdr:txBody>
    </cdr:sp>
  </cdr:relSizeAnchor>
  <cdr:relSizeAnchor xmlns:cdr="http://schemas.openxmlformats.org/drawingml/2006/chartDrawing">
    <cdr:from>
      <cdr:x>0.04975</cdr:x>
      <cdr:y>0.0695</cdr:y>
    </cdr:from>
    <cdr:to>
      <cdr:x>0.10525</cdr:x>
      <cdr:y>0.1085</cdr:y>
    </cdr:to>
    <cdr:sp>
      <cdr:nvSpPr>
        <cdr:cNvPr id="12" name="Text Box 14"/>
        <cdr:cNvSpPr txBox="1">
          <a:spLocks noChangeArrowheads="1"/>
        </cdr:cNvSpPr>
      </cdr:nvSpPr>
      <cdr:spPr>
        <a:xfrm>
          <a:off x="457200" y="390525"/>
          <a:ext cx="514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0.0805</cdr:x>
      <cdr:y>0.6655</cdr:y>
    </cdr:from>
    <cdr:to>
      <cdr:x>0.1455</cdr:x>
      <cdr:y>0.80125</cdr:y>
    </cdr:to>
    <cdr:sp>
      <cdr:nvSpPr>
        <cdr:cNvPr id="13" name="Rectangle 15"/>
        <cdr:cNvSpPr>
          <a:spLocks/>
        </cdr:cNvSpPr>
      </cdr:nvSpPr>
      <cdr:spPr>
        <a:xfrm rot="1968576">
          <a:off x="742950" y="3781425"/>
          <a:ext cx="600075" cy="771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0.46725</cdr:x>
      <cdr:y>0.20125</cdr:y>
    </cdr:from>
    <cdr:to>
      <cdr:x>0.7105</cdr:x>
      <cdr:y>0.49775</cdr:y>
    </cdr:to>
    <cdr:sp>
      <cdr:nvSpPr>
        <cdr:cNvPr id="14" name="Text Box 16"/>
        <cdr:cNvSpPr txBox="1">
          <a:spLocks noChangeArrowheads="1"/>
        </cdr:cNvSpPr>
      </cdr:nvSpPr>
      <cdr:spPr>
        <a:xfrm>
          <a:off x="4333875" y="1143000"/>
          <a:ext cx="2257425" cy="1685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6576" rIns="4572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Increasingly undersaturated solutions</a:t>
          </a:r>
        </a:p>
      </cdr:txBody>
    </cdr:sp>
  </cdr:relSizeAnchor>
  <cdr:relSizeAnchor xmlns:cdr="http://schemas.openxmlformats.org/drawingml/2006/chartDrawing">
    <cdr:from>
      <cdr:x>0.543</cdr:x>
      <cdr:y>0.53275</cdr:y>
    </cdr:from>
    <cdr:to>
      <cdr:x>0.84875</cdr:x>
      <cdr:y>0.82575</cdr:y>
    </cdr:to>
    <cdr:sp>
      <cdr:nvSpPr>
        <cdr:cNvPr id="15" name="Text Box 17"/>
        <cdr:cNvSpPr txBox="1">
          <a:spLocks noChangeArrowheads="1"/>
        </cdr:cNvSpPr>
      </cdr:nvSpPr>
      <cdr:spPr>
        <a:xfrm>
          <a:off x="5038725" y="3028950"/>
          <a:ext cx="2838450" cy="1666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Increasingly supersaturated solutions</a:t>
          </a:r>
        </a:p>
      </cdr:txBody>
    </cdr:sp>
  </cdr:relSizeAnchor>
  <cdr:relSizeAnchor xmlns:cdr="http://schemas.openxmlformats.org/drawingml/2006/chartDrawing">
    <cdr:from>
      <cdr:x>0.461</cdr:x>
      <cdr:y>0.4295</cdr:y>
    </cdr:from>
    <cdr:to>
      <cdr:x>0.54125</cdr:x>
      <cdr:y>0.79475</cdr:y>
    </cdr:to>
    <cdr:sp>
      <cdr:nvSpPr>
        <cdr:cNvPr id="16" name="Line 18"/>
        <cdr:cNvSpPr>
          <a:spLocks/>
        </cdr:cNvSpPr>
      </cdr:nvSpPr>
      <cdr:spPr>
        <a:xfrm>
          <a:off x="4276725" y="2438400"/>
          <a:ext cx="742950" cy="2076450"/>
        </a:xfrm>
        <a:prstGeom prst="line">
          <a:avLst/>
        </a:prstGeom>
        <a:noFill/>
        <a:ln w="666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0.40825</cdr:x>
      <cdr:y>0.15075</cdr:y>
    </cdr:from>
    <cdr:to>
      <cdr:x>0.45925</cdr:x>
      <cdr:y>0.41775</cdr:y>
    </cdr:to>
    <cdr:sp>
      <cdr:nvSpPr>
        <cdr:cNvPr id="17" name="Line 19"/>
        <cdr:cNvSpPr>
          <a:spLocks/>
        </cdr:cNvSpPr>
      </cdr:nvSpPr>
      <cdr:spPr>
        <a:xfrm flipH="1" flipV="1">
          <a:off x="3790950" y="857250"/>
          <a:ext cx="476250" cy="1524000"/>
        </a:xfrm>
        <a:prstGeom prst="line">
          <a:avLst/>
        </a:prstGeom>
        <a:noFill/>
        <a:ln w="666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0.0455</cdr:x>
      <cdr:y>0.249</cdr:y>
    </cdr:from>
    <cdr:to>
      <cdr:x>0.35225</cdr:x>
      <cdr:y>0.54475</cdr:y>
    </cdr:to>
    <cdr:sp>
      <cdr:nvSpPr>
        <cdr:cNvPr id="18" name="Text Box 21"/>
        <cdr:cNvSpPr txBox="1">
          <a:spLocks noChangeArrowheads="1"/>
        </cdr:cNvSpPr>
      </cdr:nvSpPr>
      <cdr:spPr>
        <a:xfrm>
          <a:off x="419100" y="1409700"/>
          <a:ext cx="2847975" cy="1685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6576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Increased P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0.02175</cdr:x>
      <cdr:y>0.72325</cdr:y>
    </cdr:from>
    <cdr:to>
      <cdr:x>0.32825</cdr:x>
      <cdr:y>0.9245</cdr:y>
    </cdr:to>
    <cdr:sp>
      <cdr:nvSpPr>
        <cdr:cNvPr id="19" name="Text Box 22"/>
        <cdr:cNvSpPr txBox="1">
          <a:spLocks noChangeArrowheads="1"/>
        </cdr:cNvSpPr>
      </cdr:nvSpPr>
      <cdr:spPr>
        <a:xfrm>
          <a:off x="200025" y="4114800"/>
          <a:ext cx="2847975" cy="1143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6576" rIns="45720" bIns="0"/>
        <a:p>
          <a:pPr algn="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Atmospheric P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0.90475</cdr:x>
      <cdr:y>0.70975</cdr:y>
    </cdr:from>
    <cdr:to>
      <cdr:x>0.97725</cdr:x>
      <cdr:y>0.81675</cdr:y>
    </cdr:to>
    <cdr:sp>
      <cdr:nvSpPr>
        <cdr:cNvPr id="20" name="TextBox 1"/>
        <cdr:cNvSpPr txBox="1">
          <a:spLocks noChangeArrowheads="1"/>
        </cdr:cNvSpPr>
      </cdr:nvSpPr>
      <cdr:spPr>
        <a:xfrm>
          <a:off x="8401050" y="4038600"/>
          <a:ext cx="6762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0.15075</cdr:x>
      <cdr:y>0.21675</cdr:y>
    </cdr:from>
    <cdr:to>
      <cdr:x>0.345</cdr:x>
      <cdr:y>0.601</cdr:y>
    </cdr:to>
    <cdr:sp>
      <cdr:nvSpPr>
        <cdr:cNvPr id="21" name="Line 19"/>
        <cdr:cNvSpPr>
          <a:spLocks/>
        </cdr:cNvSpPr>
      </cdr:nvSpPr>
      <cdr:spPr>
        <a:xfrm flipV="1">
          <a:off x="1390650" y="1228725"/>
          <a:ext cx="1800225" cy="2190750"/>
        </a:xfrm>
        <a:prstGeom prst="line">
          <a:avLst/>
        </a:prstGeom>
        <a:noFill/>
        <a:ln w="666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0.38075</cdr:x>
      <cdr:y>0.68725</cdr:y>
    </cdr:from>
    <cdr:to>
      <cdr:x>0.85</cdr:x>
      <cdr:y>0.78025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533775" y="3905250"/>
          <a:ext cx="4362450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27432" rIns="36576" bIns="0"/>
        <a:p>
          <a:pPr algn="r">
            <a:defRPr/>
          </a:pPr>
          <a:r>
            <a:rPr lang="en-US" cap="none" sz="150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Low-Mg calcite dissolution in pure water at 10 °C
</a:t>
          </a:r>
          <a:r>
            <a:rPr lang="en-US" cap="none" sz="150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Open and closed dissolution systems compared </a:t>
          </a:r>
        </a:p>
      </cdr:txBody>
    </cdr:sp>
  </cdr:relSizeAnchor>
  <cdr:relSizeAnchor xmlns:cdr="http://schemas.openxmlformats.org/drawingml/2006/chartDrawing">
    <cdr:from>
      <cdr:x>0.89275</cdr:x>
      <cdr:y>0.27275</cdr:y>
    </cdr:from>
    <cdr:to>
      <cdr:x>0.955</cdr:x>
      <cdr:y>0.308</cdr:y>
    </cdr:to>
    <cdr:sp>
      <cdr:nvSpPr>
        <cdr:cNvPr id="2" name="Rectangle 14"/>
        <cdr:cNvSpPr>
          <a:spLocks/>
        </cdr:cNvSpPr>
      </cdr:nvSpPr>
      <cdr:spPr>
        <a:xfrm rot="20923247">
          <a:off x="8286750" y="1552575"/>
          <a:ext cx="5810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0.1025</cdr:x>
      <cdr:y>0.808</cdr:y>
    </cdr:from>
    <cdr:to>
      <cdr:x>0.1585</cdr:x>
      <cdr:y>0.83675</cdr:y>
    </cdr:to>
    <cdr:sp>
      <cdr:nvSpPr>
        <cdr:cNvPr id="3" name="Rectangle 15"/>
        <cdr:cNvSpPr>
          <a:spLocks/>
        </cdr:cNvSpPr>
      </cdr:nvSpPr>
      <cdr:spPr>
        <a:xfrm>
          <a:off x="942975" y="4600575"/>
          <a:ext cx="5238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0.8475</cdr:x>
      <cdr:y>0.61875</cdr:y>
    </cdr:from>
    <cdr:to>
      <cdr:x>0.92025</cdr:x>
      <cdr:y>0.65075</cdr:y>
    </cdr:to>
    <cdr:sp>
      <cdr:nvSpPr>
        <cdr:cNvPr id="4" name="Rectangle 19"/>
        <cdr:cNvSpPr>
          <a:spLocks/>
        </cdr:cNvSpPr>
      </cdr:nvSpPr>
      <cdr:spPr>
        <a:xfrm rot="573312">
          <a:off x="7867650" y="3524250"/>
          <a:ext cx="6762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0.50325</cdr:x>
      <cdr:y>0.148</cdr:y>
    </cdr:from>
    <cdr:to>
      <cdr:x>0.594</cdr:x>
      <cdr:y>0.209</cdr:y>
    </cdr:to>
    <cdr:sp>
      <cdr:nvSpPr>
        <cdr:cNvPr id="5" name="Text Box 21"/>
        <cdr:cNvSpPr txBox="1">
          <a:spLocks noChangeArrowheads="1"/>
        </cdr:cNvSpPr>
      </cdr:nvSpPr>
      <cdr:spPr>
        <a:xfrm>
          <a:off x="4667250" y="838200"/>
          <a:ext cx="8382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4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600" b="0" i="0" u="none" baseline="-25000">
              <a:solidFill>
                <a:srgbClr val="00008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0.41525</cdr:x>
      <cdr:y>0.45525</cdr:y>
    </cdr:from>
    <cdr:to>
      <cdr:x>0.651</cdr:x>
      <cdr:y>0.513</cdr:y>
    </cdr:to>
    <cdr:sp>
      <cdr:nvSpPr>
        <cdr:cNvPr id="6" name="Text Box 22"/>
        <cdr:cNvSpPr txBox="1">
          <a:spLocks noChangeArrowheads="1"/>
        </cdr:cNvSpPr>
      </cdr:nvSpPr>
      <cdr:spPr>
        <a:xfrm>
          <a:off x="3848100" y="2590800"/>
          <a:ext cx="2190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Saturation line</a:t>
          </a:r>
        </a:p>
      </cdr:txBody>
    </cdr:sp>
  </cdr:relSizeAnchor>
  <cdr:relSizeAnchor xmlns:cdr="http://schemas.openxmlformats.org/drawingml/2006/chartDrawing">
    <cdr:from>
      <cdr:x>0.89375</cdr:x>
      <cdr:y>0.264</cdr:y>
    </cdr:from>
    <cdr:to>
      <cdr:x>0.962</cdr:x>
      <cdr:y>0.29175</cdr:y>
    </cdr:to>
    <cdr:sp>
      <cdr:nvSpPr>
        <cdr:cNvPr id="7" name="Rectangle 24"/>
        <cdr:cNvSpPr>
          <a:spLocks/>
        </cdr:cNvSpPr>
      </cdr:nvSpPr>
      <cdr:spPr>
        <a:xfrm rot="21035705">
          <a:off x="8296275" y="1495425"/>
          <a:ext cx="6381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0.331</cdr:x>
      <cdr:y>0.49</cdr:y>
    </cdr:from>
    <cdr:to>
      <cdr:x>0.34875</cdr:x>
      <cdr:y>0.51225</cdr:y>
    </cdr:to>
    <cdr:sp>
      <cdr:nvSpPr>
        <cdr:cNvPr id="8" name="Rectangle 9"/>
        <cdr:cNvSpPr>
          <a:spLocks/>
        </cdr:cNvSpPr>
      </cdr:nvSpPr>
      <cdr:spPr>
        <a:xfrm rot="20112612">
          <a:off x="3067050" y="2790825"/>
          <a:ext cx="1619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0.1585</cdr:x>
      <cdr:y>0.5815</cdr:y>
    </cdr:from>
    <cdr:to>
      <cdr:x>0.16725</cdr:x>
      <cdr:y>0.59375</cdr:y>
    </cdr:to>
    <cdr:sp>
      <cdr:nvSpPr>
        <cdr:cNvPr id="9" name="Straight Connector 11"/>
        <cdr:cNvSpPr>
          <a:spLocks/>
        </cdr:cNvSpPr>
      </cdr:nvSpPr>
      <cdr:spPr>
        <a:xfrm flipV="1">
          <a:off x="1466850" y="3305175"/>
          <a:ext cx="85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0.0945</cdr:x>
      <cdr:y>0.61075</cdr:y>
    </cdr:from>
    <cdr:to>
      <cdr:x>0.1025</cdr:x>
      <cdr:y>0.6235</cdr:y>
    </cdr:to>
    <cdr:sp>
      <cdr:nvSpPr>
        <cdr:cNvPr id="10" name="Straight Connector 12"/>
        <cdr:cNvSpPr>
          <a:spLocks/>
        </cdr:cNvSpPr>
      </cdr:nvSpPr>
      <cdr:spPr>
        <a:xfrm flipV="1">
          <a:off x="876300" y="3476625"/>
          <a:ext cx="762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0.1345</cdr:x>
      <cdr:y>0.342</cdr:y>
    </cdr:from>
    <cdr:to>
      <cdr:x>0.146</cdr:x>
      <cdr:y>0.37125</cdr:y>
    </cdr:to>
    <cdr:sp>
      <cdr:nvSpPr>
        <cdr:cNvPr id="11" name="Straight Connector 14"/>
        <cdr:cNvSpPr>
          <a:spLocks/>
        </cdr:cNvSpPr>
      </cdr:nvSpPr>
      <cdr:spPr>
        <a:xfrm rot="5400000" flipH="1" flipV="1">
          <a:off x="1247775" y="1943100"/>
          <a:ext cx="1047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0.1095</cdr:x>
      <cdr:y>0.35475</cdr:y>
    </cdr:from>
    <cdr:to>
      <cdr:x>0.12725</cdr:x>
      <cdr:y>0.37175</cdr:y>
    </cdr:to>
    <cdr:sp>
      <cdr:nvSpPr>
        <cdr:cNvPr id="12" name="Straight Connector 16"/>
        <cdr:cNvSpPr>
          <a:spLocks/>
        </cdr:cNvSpPr>
      </cdr:nvSpPr>
      <cdr:spPr>
        <a:xfrm rot="10800000">
          <a:off x="1009650" y="2019300"/>
          <a:ext cx="161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0.266</cdr:x>
      <cdr:y>0.2355</cdr:y>
    </cdr:from>
    <cdr:to>
      <cdr:x>0.2705</cdr:x>
      <cdr:y>0.25575</cdr:y>
    </cdr:to>
    <cdr:sp>
      <cdr:nvSpPr>
        <cdr:cNvPr id="13" name="Straight Connector 18"/>
        <cdr:cNvSpPr>
          <a:spLocks/>
        </cdr:cNvSpPr>
      </cdr:nvSpPr>
      <cdr:spPr>
        <a:xfrm rot="5400000" flipH="1" flipV="1">
          <a:off x="2466975" y="1333500"/>
          <a:ext cx="381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0.2295</cdr:x>
      <cdr:y>0.2735</cdr:y>
    </cdr:from>
    <cdr:to>
      <cdr:x>0.24725</cdr:x>
      <cdr:y>0.27675</cdr:y>
    </cdr:to>
    <cdr:sp>
      <cdr:nvSpPr>
        <cdr:cNvPr id="14" name="Straight Connector 20"/>
        <cdr:cNvSpPr>
          <a:spLocks/>
        </cdr:cNvSpPr>
      </cdr:nvSpPr>
      <cdr:spPr>
        <a:xfrm rot="10800000">
          <a:off x="2124075" y="1552575"/>
          <a:ext cx="161925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0.44125</cdr:x>
      <cdr:y>0.19475</cdr:y>
    </cdr:from>
    <cdr:to>
      <cdr:x>0.4535</cdr:x>
      <cdr:y>0.21175</cdr:y>
    </cdr:to>
    <cdr:sp>
      <cdr:nvSpPr>
        <cdr:cNvPr id="15" name="Straight Connector 22"/>
        <cdr:cNvSpPr>
          <a:spLocks/>
        </cdr:cNvSpPr>
      </cdr:nvSpPr>
      <cdr:spPr>
        <a:xfrm rot="10800000">
          <a:off x="4095750" y="1104900"/>
          <a:ext cx="11430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0.435</cdr:x>
      <cdr:y>0.228</cdr:y>
    </cdr:from>
    <cdr:to>
      <cdr:x>0.45525</cdr:x>
      <cdr:y>0.232</cdr:y>
    </cdr:to>
    <cdr:sp>
      <cdr:nvSpPr>
        <cdr:cNvPr id="16" name="Straight Connector 24"/>
        <cdr:cNvSpPr>
          <a:spLocks/>
        </cdr:cNvSpPr>
      </cdr:nvSpPr>
      <cdr:spPr>
        <a:xfrm rot="10800000" flipV="1">
          <a:off x="4038600" y="1295400"/>
          <a:ext cx="19050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0.062</cdr:x>
      <cdr:y>0.86675</cdr:y>
    </cdr:from>
    <cdr:to>
      <cdr:x>0.96575</cdr:x>
      <cdr:y>0.88125</cdr:y>
    </cdr:to>
    <cdr:sp>
      <cdr:nvSpPr>
        <cdr:cNvPr id="17" name="Rectangle 25"/>
        <cdr:cNvSpPr>
          <a:spLocks/>
        </cdr:cNvSpPr>
      </cdr:nvSpPr>
      <cdr:spPr>
        <a:xfrm>
          <a:off x="571500" y="4933950"/>
          <a:ext cx="839152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0.58875</cdr:x>
      <cdr:y>0.18925</cdr:y>
    </cdr:from>
    <cdr:to>
      <cdr:x>0.77725</cdr:x>
      <cdr:y>0.23675</cdr:y>
    </cdr:to>
    <cdr:sp>
      <cdr:nvSpPr>
        <cdr:cNvPr id="18" name="TextBox 26"/>
        <cdr:cNvSpPr txBox="1">
          <a:spLocks noChangeArrowheads="1"/>
        </cdr:cNvSpPr>
      </cdr:nvSpPr>
      <cdr:spPr>
        <a:xfrm rot="333520">
          <a:off x="5467350" y="1076325"/>
          <a:ext cx="1752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open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system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dissolution</a:t>
          </a:r>
        </a:p>
      </cdr:txBody>
    </cdr:sp>
  </cdr:relSizeAnchor>
  <cdr:relSizeAnchor xmlns:cdr="http://schemas.openxmlformats.org/drawingml/2006/chartDrawing">
    <cdr:from>
      <cdr:x>0.48375</cdr:x>
      <cdr:y>0.2525</cdr:y>
    </cdr:from>
    <cdr:to>
      <cdr:x>0.6715</cdr:x>
      <cdr:y>0.3</cdr:y>
    </cdr:to>
    <cdr:sp>
      <cdr:nvSpPr>
        <cdr:cNvPr id="19" name="TextBox 1"/>
        <cdr:cNvSpPr txBox="1">
          <a:spLocks noChangeArrowheads="1"/>
        </cdr:cNvSpPr>
      </cdr:nvSpPr>
      <cdr:spPr>
        <a:xfrm rot="942879">
          <a:off x="4486275" y="1428750"/>
          <a:ext cx="1743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closed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system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dissolution</a:t>
          </a:r>
        </a:p>
      </cdr:txBody>
    </cdr:sp>
  </cdr:relSizeAnchor>
  <cdr:relSizeAnchor xmlns:cdr="http://schemas.openxmlformats.org/drawingml/2006/chartDrawing">
    <cdr:from>
      <cdr:x>0.30425</cdr:x>
      <cdr:y>0.2945</cdr:y>
    </cdr:from>
    <cdr:to>
      <cdr:x>0.49175</cdr:x>
      <cdr:y>0.342</cdr:y>
    </cdr:to>
    <cdr:sp>
      <cdr:nvSpPr>
        <cdr:cNvPr id="20" name="TextBox 1"/>
        <cdr:cNvSpPr txBox="1">
          <a:spLocks noChangeArrowheads="1"/>
        </cdr:cNvSpPr>
      </cdr:nvSpPr>
      <cdr:spPr>
        <a:xfrm rot="683316">
          <a:off x="2819400" y="1676400"/>
          <a:ext cx="1743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open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0.32825</cdr:x>
      <cdr:y>0.2715</cdr:y>
    </cdr:from>
    <cdr:to>
      <cdr:x>0.3575</cdr:x>
      <cdr:y>0.57875</cdr:y>
    </cdr:to>
    <cdr:sp>
      <cdr:nvSpPr>
        <cdr:cNvPr id="21" name="TextBox 1"/>
        <cdr:cNvSpPr txBox="1">
          <a:spLocks noChangeArrowheads="1"/>
        </cdr:cNvSpPr>
      </cdr:nvSpPr>
      <cdr:spPr>
        <a:xfrm rot="2902942">
          <a:off x="3048000" y="1543050"/>
          <a:ext cx="276225" cy="1752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closed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0.15225</cdr:x>
      <cdr:y>0.46075</cdr:y>
    </cdr:from>
    <cdr:to>
      <cdr:x>0.33975</cdr:x>
      <cdr:y>0.50825</cdr:y>
    </cdr:to>
    <cdr:sp>
      <cdr:nvSpPr>
        <cdr:cNvPr id="22" name="TextBox 1"/>
        <cdr:cNvSpPr txBox="1">
          <a:spLocks noChangeArrowheads="1"/>
        </cdr:cNvSpPr>
      </cdr:nvSpPr>
      <cdr:spPr>
        <a:xfrm rot="2040658">
          <a:off x="1409700" y="2619375"/>
          <a:ext cx="1743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open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0.11925</cdr:x>
      <cdr:y>0.4065</cdr:y>
    </cdr:from>
    <cdr:to>
      <cdr:x>0.14875</cdr:x>
      <cdr:y>0.7145</cdr:y>
    </cdr:to>
    <cdr:sp>
      <cdr:nvSpPr>
        <cdr:cNvPr id="23" name="TextBox 1"/>
        <cdr:cNvSpPr txBox="1">
          <a:spLocks noChangeArrowheads="1"/>
        </cdr:cNvSpPr>
      </cdr:nvSpPr>
      <cdr:spPr>
        <a:xfrm rot="5160541">
          <a:off x="1104900" y="2314575"/>
          <a:ext cx="276225" cy="1752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closed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0.13875</cdr:x>
      <cdr:y>0.66075</cdr:y>
    </cdr:from>
    <cdr:to>
      <cdr:x>0.3255</cdr:x>
      <cdr:y>0.70825</cdr:y>
    </cdr:to>
    <cdr:sp>
      <cdr:nvSpPr>
        <cdr:cNvPr id="24" name="TextBox 1"/>
        <cdr:cNvSpPr txBox="1">
          <a:spLocks noChangeArrowheads="1"/>
        </cdr:cNvSpPr>
      </cdr:nvSpPr>
      <cdr:spPr>
        <a:xfrm rot="2040658">
          <a:off x="1285875" y="3762375"/>
          <a:ext cx="1733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open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0.09075</cdr:x>
      <cdr:y>0.61</cdr:y>
    </cdr:from>
    <cdr:to>
      <cdr:x>0.11925</cdr:x>
      <cdr:y>0.9175</cdr:y>
    </cdr:to>
    <cdr:sp>
      <cdr:nvSpPr>
        <cdr:cNvPr id="25" name="TextBox 1"/>
        <cdr:cNvSpPr txBox="1">
          <a:spLocks noChangeArrowheads="1"/>
        </cdr:cNvSpPr>
      </cdr:nvSpPr>
      <cdr:spPr>
        <a:xfrm rot="5280000">
          <a:off x="838200" y="3467100"/>
          <a:ext cx="266700" cy="1752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closed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0.91575</cdr:x>
      <cdr:y>0.69</cdr:y>
    </cdr:from>
    <cdr:to>
      <cdr:x>0.9885</cdr:x>
      <cdr:y>0.7965</cdr:y>
    </cdr:to>
    <cdr:sp>
      <cdr:nvSpPr>
        <cdr:cNvPr id="26" name="TextBox 1"/>
        <cdr:cNvSpPr txBox="1">
          <a:spLocks noChangeArrowheads="1"/>
        </cdr:cNvSpPr>
      </cdr:nvSpPr>
      <cdr:spPr>
        <a:xfrm>
          <a:off x="8496300" y="3924300"/>
          <a:ext cx="6762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0.83725</cdr:y>
    </cdr:from>
    <cdr:to>
      <cdr:x>0.94925</cdr:x>
      <cdr:y>0.8515</cdr:y>
    </cdr:to>
    <cdr:sp>
      <cdr:nvSpPr>
        <cdr:cNvPr id="1" name="Rectangle 2"/>
        <cdr:cNvSpPr>
          <a:spLocks/>
        </cdr:cNvSpPr>
      </cdr:nvSpPr>
      <cdr:spPr>
        <a:xfrm>
          <a:off x="419100" y="4762500"/>
          <a:ext cx="839152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0.103</cdr:x>
      <cdr:y>0.5625</cdr:y>
    </cdr:from>
    <cdr:to>
      <cdr:x>0.1405</cdr:x>
      <cdr:y>0.664</cdr:y>
    </cdr:to>
    <cdr:sp>
      <cdr:nvSpPr>
        <cdr:cNvPr id="2" name="Rectangle 3"/>
        <cdr:cNvSpPr>
          <a:spLocks/>
        </cdr:cNvSpPr>
      </cdr:nvSpPr>
      <cdr:spPr>
        <a:xfrm rot="1771559">
          <a:off x="952500" y="3200400"/>
          <a:ext cx="35242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0.28225</cdr:x>
      <cdr:y>0.68775</cdr:y>
    </cdr:from>
    <cdr:to>
      <cdr:x>0.764</cdr:x>
      <cdr:y>0.74625</cdr:y>
    </cdr:to>
    <cdr:sp>
      <cdr:nvSpPr>
        <cdr:cNvPr id="3" name="Text Box 1"/>
        <cdr:cNvSpPr txBox="1">
          <a:spLocks noChangeArrowheads="1"/>
        </cdr:cNvSpPr>
      </cdr:nvSpPr>
      <cdr:spPr>
        <a:xfrm>
          <a:off x="2619375" y="3914775"/>
          <a:ext cx="4476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36576" bIns="0"/>
        <a:p>
          <a:pPr algn="r">
            <a:defRPr/>
          </a:pPr>
          <a:r>
            <a:rPr lang="en-US" cap="none" sz="150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Examples of water evolution pathways </a:t>
          </a:r>
        </a:p>
      </cdr:txBody>
    </cdr:sp>
  </cdr:relSizeAnchor>
  <cdr:relSizeAnchor xmlns:cdr="http://schemas.openxmlformats.org/drawingml/2006/chartDrawing">
    <cdr:from>
      <cdr:x>0.0455</cdr:x>
      <cdr:y>0.83725</cdr:y>
    </cdr:from>
    <cdr:to>
      <cdr:x>0.94925</cdr:x>
      <cdr:y>0.8515</cdr:y>
    </cdr:to>
    <cdr:sp>
      <cdr:nvSpPr>
        <cdr:cNvPr id="4" name="Rectangle 2"/>
        <cdr:cNvSpPr>
          <a:spLocks/>
        </cdr:cNvSpPr>
      </cdr:nvSpPr>
      <cdr:spPr>
        <a:xfrm>
          <a:off x="419100" y="4762500"/>
          <a:ext cx="839152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0.103</cdr:x>
      <cdr:y>0.5625</cdr:y>
    </cdr:from>
    <cdr:to>
      <cdr:x>0.1405</cdr:x>
      <cdr:y>0.664</cdr:y>
    </cdr:to>
    <cdr:sp>
      <cdr:nvSpPr>
        <cdr:cNvPr id="5" name="Rectangle 3"/>
        <cdr:cNvSpPr>
          <a:spLocks/>
        </cdr:cNvSpPr>
      </cdr:nvSpPr>
      <cdr:spPr>
        <a:xfrm rot="1771559">
          <a:off x="952500" y="3200400"/>
          <a:ext cx="35242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0.88825</cdr:x>
      <cdr:y>0.651</cdr:y>
    </cdr:from>
    <cdr:to>
      <cdr:x>0.9605</cdr:x>
      <cdr:y>0.75775</cdr:y>
    </cdr:to>
    <cdr:sp>
      <cdr:nvSpPr>
        <cdr:cNvPr id="6" name="TextBox 7"/>
        <cdr:cNvSpPr txBox="1">
          <a:spLocks noChangeArrowheads="1"/>
        </cdr:cNvSpPr>
      </cdr:nvSpPr>
      <cdr:spPr>
        <a:xfrm>
          <a:off x="8248650" y="3705225"/>
          <a:ext cx="6667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35</xdr:row>
      <xdr:rowOff>0</xdr:rowOff>
    </xdr:from>
    <xdr:to>
      <xdr:col>54</xdr:col>
      <xdr:colOff>419100</xdr:colOff>
      <xdr:row>60</xdr:row>
      <xdr:rowOff>133350</xdr:rowOff>
    </xdr:to>
    <xdr:graphicFrame>
      <xdr:nvGraphicFramePr>
        <xdr:cNvPr id="1" name="Chart 2"/>
        <xdr:cNvGraphicFramePr/>
      </xdr:nvGraphicFramePr>
      <xdr:xfrm>
        <a:off x="19773900" y="5991225"/>
        <a:ext cx="83439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2"/>
  <sheetViews>
    <sheetView zoomScalePageLayoutView="0" workbookViewId="0" topLeftCell="A1">
      <pane ySplit="1875" topLeftCell="A1" activePane="bottomLeft" state="split"/>
      <selection pane="topLeft" activeCell="M39" sqref="M39"/>
      <selection pane="bottomLeft" activeCell="L19" sqref="L19"/>
    </sheetView>
  </sheetViews>
  <sheetFormatPr defaultColWidth="9.140625" defaultRowHeight="12.75"/>
  <cols>
    <col min="1" max="1" width="14.8515625" style="0" customWidth="1"/>
    <col min="2" max="2" width="5.00390625" style="0" bestFit="1" customWidth="1"/>
    <col min="3" max="3" width="5.57421875" style="0" customWidth="1"/>
    <col min="4" max="4" width="8.140625" style="0" customWidth="1"/>
    <col min="5" max="5" width="6.7109375" style="0" customWidth="1"/>
    <col min="7" max="7" width="2.57421875" style="0" customWidth="1"/>
    <col min="8" max="8" width="5.140625" style="0" bestFit="1" customWidth="1"/>
    <col min="9" max="9" width="5.28125" style="0" customWidth="1"/>
    <col min="10" max="10" width="6.57421875" style="0" customWidth="1"/>
    <col min="11" max="11" width="8.7109375" style="26" customWidth="1"/>
    <col min="12" max="12" width="8.57421875" style="0" customWidth="1"/>
    <col min="13" max="13" width="7.421875" style="0" customWidth="1"/>
    <col min="14" max="14" width="5.421875" style="26" customWidth="1"/>
    <col min="15" max="15" width="5.7109375" style="0" customWidth="1"/>
    <col min="16" max="16" width="6.7109375" style="0" customWidth="1"/>
    <col min="17" max="17" width="5.28125" style="26" bestFit="1" customWidth="1"/>
    <col min="18" max="18" width="5.140625" style="0" customWidth="1"/>
    <col min="19" max="19" width="7.7109375" style="0" customWidth="1"/>
    <col min="20" max="20" width="5.28125" style="26" bestFit="1" customWidth="1"/>
    <col min="21" max="21" width="5.140625" style="31" customWidth="1"/>
    <col min="22" max="22" width="5.140625" style="0" customWidth="1"/>
    <col min="23" max="25" width="5.57421875" style="0" customWidth="1"/>
    <col min="26" max="26" width="5.7109375" style="0" customWidth="1"/>
    <col min="27" max="27" width="5.421875" style="0" customWidth="1"/>
    <col min="28" max="28" width="5.7109375" style="0" customWidth="1"/>
    <col min="30" max="30" width="8.00390625" style="0" customWidth="1"/>
  </cols>
  <sheetData>
    <row r="1" spans="2:30" ht="12.75">
      <c r="B1" t="s">
        <v>22</v>
      </c>
      <c r="C1" t="s">
        <v>116</v>
      </c>
      <c r="D1" s="8" t="s">
        <v>117</v>
      </c>
      <c r="E1" s="25" t="s">
        <v>223</v>
      </c>
      <c r="F1" s="25" t="s">
        <v>224</v>
      </c>
      <c r="H1" t="s">
        <v>22</v>
      </c>
      <c r="I1" t="s">
        <v>116</v>
      </c>
      <c r="J1" s="52" t="s">
        <v>117</v>
      </c>
      <c r="K1" s="26" t="s">
        <v>22</v>
      </c>
      <c r="L1" t="s">
        <v>116</v>
      </c>
      <c r="M1" s="52" t="s">
        <v>117</v>
      </c>
      <c r="N1" s="26" t="s">
        <v>22</v>
      </c>
      <c r="O1" t="s">
        <v>116</v>
      </c>
      <c r="P1" s="52" t="s">
        <v>117</v>
      </c>
      <c r="Q1" s="26" t="s">
        <v>22</v>
      </c>
      <c r="R1" t="s">
        <v>116</v>
      </c>
      <c r="S1" s="52" t="s">
        <v>117</v>
      </c>
      <c r="T1" s="26" t="s">
        <v>22</v>
      </c>
      <c r="U1" s="57" t="s">
        <v>5</v>
      </c>
      <c r="V1" s="52" t="s">
        <v>116</v>
      </c>
      <c r="W1" s="52" t="s">
        <v>117</v>
      </c>
      <c r="X1" s="52"/>
      <c r="Y1" s="26" t="s">
        <v>22</v>
      </c>
      <c r="Z1" t="s">
        <v>116</v>
      </c>
      <c r="AA1" s="52" t="s">
        <v>117</v>
      </c>
      <c r="AB1" s="26" t="s">
        <v>22</v>
      </c>
      <c r="AC1" t="s">
        <v>116</v>
      </c>
      <c r="AD1" s="52" t="s">
        <v>117</v>
      </c>
    </row>
    <row r="2" spans="4:30" ht="12.75">
      <c r="D2" s="8"/>
      <c r="E2" s="25"/>
      <c r="F2" s="25"/>
      <c r="J2" s="52"/>
      <c r="K2" s="26">
        <v>27.7</v>
      </c>
      <c r="L2">
        <v>7.35</v>
      </c>
      <c r="M2" s="52">
        <v>3.4</v>
      </c>
      <c r="N2" s="26">
        <v>27.7</v>
      </c>
      <c r="O2" s="28">
        <v>6.96</v>
      </c>
      <c r="P2" s="52">
        <v>3</v>
      </c>
      <c r="Q2" s="26">
        <v>27.7</v>
      </c>
      <c r="R2" s="28">
        <v>6.45</v>
      </c>
      <c r="S2" s="52">
        <v>2.5</v>
      </c>
      <c r="T2" s="26">
        <v>27.7</v>
      </c>
      <c r="U2" s="57"/>
      <c r="V2" s="52">
        <v>5.96</v>
      </c>
      <c r="W2" s="52">
        <v>2</v>
      </c>
      <c r="X2" s="52"/>
      <c r="Y2" s="26"/>
      <c r="AA2" s="52"/>
      <c r="AB2" s="26"/>
      <c r="AD2" s="52"/>
    </row>
    <row r="3" spans="4:28" ht="12.75">
      <c r="D3" s="8"/>
      <c r="H3">
        <v>44.5</v>
      </c>
      <c r="I3">
        <v>7.86</v>
      </c>
      <c r="J3">
        <v>3.5</v>
      </c>
      <c r="K3" s="26">
        <v>44.5</v>
      </c>
      <c r="L3" s="28">
        <v>7.76</v>
      </c>
      <c r="M3">
        <v>3.4</v>
      </c>
      <c r="N3" s="26">
        <v>44.5</v>
      </c>
      <c r="O3" s="28">
        <v>7.36</v>
      </c>
      <c r="P3">
        <v>3</v>
      </c>
      <c r="Q3" s="26">
        <v>44.5</v>
      </c>
      <c r="R3" s="28">
        <v>6.86</v>
      </c>
      <c r="S3">
        <v>2.5</v>
      </c>
      <c r="T3" s="26">
        <v>45.5</v>
      </c>
      <c r="U3" s="58">
        <v>6</v>
      </c>
      <c r="V3" s="28">
        <v>6.37</v>
      </c>
      <c r="W3">
        <v>2</v>
      </c>
      <c r="Y3" s="26"/>
      <c r="AB3" s="26"/>
    </row>
    <row r="4" spans="4:30" ht="12.75">
      <c r="D4" s="8"/>
      <c r="H4">
        <v>66</v>
      </c>
      <c r="I4">
        <v>7.97</v>
      </c>
      <c r="J4">
        <v>3.5</v>
      </c>
      <c r="K4" s="26">
        <v>66</v>
      </c>
      <c r="L4" s="28">
        <v>7.87</v>
      </c>
      <c r="M4">
        <v>3.4</v>
      </c>
      <c r="N4" s="26">
        <v>66</v>
      </c>
      <c r="O4" s="28">
        <v>7.45</v>
      </c>
      <c r="P4">
        <v>3</v>
      </c>
      <c r="Q4" s="26">
        <v>66</v>
      </c>
      <c r="R4" s="28">
        <v>6.96</v>
      </c>
      <c r="S4">
        <v>2.5</v>
      </c>
      <c r="T4" s="26">
        <v>66</v>
      </c>
      <c r="U4" s="58">
        <v>10</v>
      </c>
      <c r="V4" s="28">
        <v>6.45</v>
      </c>
      <c r="W4">
        <v>2</v>
      </c>
      <c r="Y4" s="26">
        <v>66</v>
      </c>
      <c r="Z4" s="28">
        <v>5.95</v>
      </c>
      <c r="AA4" s="28">
        <v>1.5</v>
      </c>
      <c r="AB4" s="26"/>
      <c r="AC4" s="28"/>
      <c r="AD4" s="28"/>
    </row>
    <row r="5" spans="1:30" ht="12.75">
      <c r="A5">
        <v>0.00038</v>
      </c>
      <c r="B5">
        <v>27.7</v>
      </c>
      <c r="C5">
        <v>5.96</v>
      </c>
      <c r="D5" s="8">
        <v>2</v>
      </c>
      <c r="E5">
        <v>-4.11</v>
      </c>
      <c r="F5">
        <f>0.05+E5</f>
        <v>-4.0600000000000005</v>
      </c>
      <c r="H5">
        <v>138</v>
      </c>
      <c r="I5">
        <v>8.32</v>
      </c>
      <c r="J5">
        <v>3.5</v>
      </c>
      <c r="K5" s="26">
        <v>138</v>
      </c>
      <c r="L5" s="28">
        <v>8.22</v>
      </c>
      <c r="M5">
        <v>3.4</v>
      </c>
      <c r="N5" s="26">
        <v>138</v>
      </c>
      <c r="O5" s="28">
        <v>7.83</v>
      </c>
      <c r="P5">
        <v>3</v>
      </c>
      <c r="Q5" s="26">
        <v>138</v>
      </c>
      <c r="R5" s="28">
        <v>7.3</v>
      </c>
      <c r="S5">
        <v>2.5</v>
      </c>
      <c r="T5" s="26">
        <v>138</v>
      </c>
      <c r="U5" s="58">
        <v>24</v>
      </c>
      <c r="V5" s="28">
        <v>6.8</v>
      </c>
      <c r="W5">
        <v>2</v>
      </c>
      <c r="Y5" s="26">
        <v>138</v>
      </c>
      <c r="Z5" s="28">
        <v>6.3</v>
      </c>
      <c r="AA5">
        <v>1.5</v>
      </c>
      <c r="AB5" s="26">
        <v>138</v>
      </c>
      <c r="AC5" s="28">
        <v>5.79</v>
      </c>
      <c r="AD5">
        <v>1</v>
      </c>
    </row>
    <row r="6" spans="1:30" ht="12.75">
      <c r="A6">
        <v>1.7E-05</v>
      </c>
      <c r="B6">
        <v>27.7</v>
      </c>
      <c r="C6">
        <v>6.45</v>
      </c>
      <c r="D6" s="8">
        <v>2.5</v>
      </c>
      <c r="E6">
        <v>-3.62</v>
      </c>
      <c r="F6">
        <f>0.05+E6</f>
        <v>-3.5700000000000003</v>
      </c>
      <c r="H6">
        <v>199</v>
      </c>
      <c r="I6">
        <v>8.49</v>
      </c>
      <c r="J6">
        <v>3.5</v>
      </c>
      <c r="K6" s="26">
        <v>199</v>
      </c>
      <c r="L6" s="28">
        <v>8.39</v>
      </c>
      <c r="M6">
        <v>3.4</v>
      </c>
      <c r="N6" s="26">
        <v>199</v>
      </c>
      <c r="O6" s="28">
        <v>7.99</v>
      </c>
      <c r="P6">
        <v>3</v>
      </c>
      <c r="Q6" s="26">
        <v>199</v>
      </c>
      <c r="R6" s="28">
        <v>7.5</v>
      </c>
      <c r="S6">
        <v>2.5</v>
      </c>
      <c r="T6" s="26">
        <v>199</v>
      </c>
      <c r="U6" s="58">
        <v>36</v>
      </c>
      <c r="V6" s="28">
        <v>7</v>
      </c>
      <c r="W6">
        <v>2</v>
      </c>
      <c r="Y6" s="26">
        <v>199</v>
      </c>
      <c r="Z6" s="28">
        <v>6.5</v>
      </c>
      <c r="AA6" s="28">
        <v>1.5</v>
      </c>
      <c r="AB6" s="26">
        <v>199</v>
      </c>
      <c r="AC6" s="28">
        <v>6.01</v>
      </c>
      <c r="AD6">
        <v>1</v>
      </c>
    </row>
    <row r="7" spans="1:30" ht="12.75">
      <c r="A7" t="s">
        <v>366</v>
      </c>
      <c r="B7">
        <v>27.7</v>
      </c>
      <c r="C7">
        <v>6.5</v>
      </c>
      <c r="D7" s="8">
        <v>2.54</v>
      </c>
      <c r="E7">
        <v>-3.57</v>
      </c>
      <c r="F7">
        <f>0.05+E7</f>
        <v>-3.52</v>
      </c>
      <c r="H7">
        <v>297</v>
      </c>
      <c r="I7">
        <v>8.66</v>
      </c>
      <c r="J7">
        <v>3.5</v>
      </c>
      <c r="K7" s="26">
        <v>297</v>
      </c>
      <c r="L7" s="28">
        <v>8.56</v>
      </c>
      <c r="M7">
        <v>3.4</v>
      </c>
      <c r="N7" s="26">
        <v>297</v>
      </c>
      <c r="O7" s="28">
        <v>8.17</v>
      </c>
      <c r="P7">
        <v>3</v>
      </c>
      <c r="Q7" s="26">
        <v>297</v>
      </c>
      <c r="R7" s="28">
        <v>7.68</v>
      </c>
      <c r="S7">
        <v>2.5</v>
      </c>
      <c r="T7" s="26">
        <v>297</v>
      </c>
      <c r="U7" s="58">
        <v>56</v>
      </c>
      <c r="V7" s="28">
        <v>7.2</v>
      </c>
      <c r="W7">
        <v>2</v>
      </c>
      <c r="Y7" s="26">
        <v>297</v>
      </c>
      <c r="Z7" s="28">
        <v>6.68</v>
      </c>
      <c r="AA7" s="28">
        <v>1.5</v>
      </c>
      <c r="AB7" s="26">
        <v>297</v>
      </c>
      <c r="AC7" s="28">
        <v>6.19</v>
      </c>
      <c r="AD7">
        <v>1</v>
      </c>
    </row>
    <row r="8" spans="1:30" ht="12.75">
      <c r="A8" t="s">
        <v>368</v>
      </c>
      <c r="B8">
        <v>27.7</v>
      </c>
      <c r="C8">
        <v>6.96</v>
      </c>
      <c r="D8" s="8">
        <v>3</v>
      </c>
      <c r="E8">
        <v>-3.12</v>
      </c>
      <c r="F8">
        <f>0.05+E8</f>
        <v>-3.0700000000000003</v>
      </c>
      <c r="H8">
        <v>364</v>
      </c>
      <c r="I8">
        <v>8.78</v>
      </c>
      <c r="J8">
        <v>3.5</v>
      </c>
      <c r="K8" s="26">
        <v>364</v>
      </c>
      <c r="L8" s="28">
        <v>8.68</v>
      </c>
      <c r="M8">
        <v>3.4</v>
      </c>
      <c r="N8" s="26">
        <v>364</v>
      </c>
      <c r="O8" s="56">
        <v>8.28</v>
      </c>
      <c r="P8">
        <v>3</v>
      </c>
      <c r="Q8" s="26">
        <v>364</v>
      </c>
      <c r="R8" s="28">
        <v>7.78</v>
      </c>
      <c r="S8">
        <v>2.5</v>
      </c>
      <c r="T8" s="26">
        <v>364</v>
      </c>
      <c r="U8" s="58">
        <v>70</v>
      </c>
      <c r="V8" s="28">
        <v>7.28</v>
      </c>
      <c r="W8">
        <v>2</v>
      </c>
      <c r="Y8" s="26">
        <v>364</v>
      </c>
      <c r="Z8" s="28">
        <v>6.78</v>
      </c>
      <c r="AA8" s="28">
        <v>1.5</v>
      </c>
      <c r="AB8" s="26">
        <v>364</v>
      </c>
      <c r="AC8" s="28">
        <v>6.28</v>
      </c>
      <c r="AD8">
        <v>1</v>
      </c>
    </row>
    <row r="9" spans="1:30" ht="12.75">
      <c r="A9" t="s">
        <v>369</v>
      </c>
      <c r="B9">
        <v>27.7</v>
      </c>
      <c r="C9">
        <v>7.35</v>
      </c>
      <c r="D9" s="8">
        <v>3.4</v>
      </c>
      <c r="E9">
        <v>-2.72</v>
      </c>
      <c r="F9">
        <f>0.05+E9</f>
        <v>-2.6700000000000004</v>
      </c>
      <c r="H9">
        <v>421</v>
      </c>
      <c r="J9">
        <v>3.5</v>
      </c>
      <c r="K9" s="26">
        <v>421</v>
      </c>
      <c r="M9">
        <v>3.4</v>
      </c>
      <c r="N9" s="26">
        <v>421</v>
      </c>
      <c r="O9" s="28">
        <v>8.33</v>
      </c>
      <c r="P9">
        <v>3</v>
      </c>
      <c r="Q9" s="26">
        <v>421</v>
      </c>
      <c r="R9" s="28">
        <v>7.84</v>
      </c>
      <c r="S9">
        <v>2.5</v>
      </c>
      <c r="T9" s="26">
        <v>421</v>
      </c>
      <c r="U9" s="58">
        <v>82</v>
      </c>
      <c r="V9" s="28">
        <v>7.34</v>
      </c>
      <c r="W9">
        <v>2</v>
      </c>
      <c r="Y9" s="26">
        <v>421</v>
      </c>
      <c r="Z9" s="28">
        <v>6.84</v>
      </c>
      <c r="AA9" s="28">
        <v>1.5</v>
      </c>
      <c r="AB9" s="26">
        <v>421</v>
      </c>
      <c r="AC9" s="28">
        <v>6.35</v>
      </c>
      <c r="AD9">
        <v>1</v>
      </c>
    </row>
    <row r="10" spans="4:30" ht="12.75">
      <c r="D10" s="8"/>
      <c r="H10">
        <v>505</v>
      </c>
      <c r="J10">
        <v>3.5</v>
      </c>
      <c r="K10" s="26">
        <v>505</v>
      </c>
      <c r="M10">
        <v>3.4</v>
      </c>
      <c r="N10" s="26">
        <v>505</v>
      </c>
      <c r="O10" s="28">
        <v>8.41</v>
      </c>
      <c r="P10">
        <v>3</v>
      </c>
      <c r="Q10" s="26">
        <v>505</v>
      </c>
      <c r="R10" s="28">
        <v>7.92</v>
      </c>
      <c r="S10">
        <v>2.5</v>
      </c>
      <c r="T10" s="26">
        <v>505</v>
      </c>
      <c r="U10" s="58">
        <v>100</v>
      </c>
      <c r="V10" s="28">
        <v>7.4</v>
      </c>
      <c r="W10">
        <v>2</v>
      </c>
      <c r="Y10" s="26">
        <v>505</v>
      </c>
      <c r="Z10" s="28">
        <v>6.92</v>
      </c>
      <c r="AA10" s="28">
        <v>1.5</v>
      </c>
      <c r="AB10" s="26">
        <v>505</v>
      </c>
      <c r="AC10" s="28">
        <v>6.43</v>
      </c>
      <c r="AD10">
        <v>1</v>
      </c>
    </row>
    <row r="11" spans="4:30" ht="12.75">
      <c r="D11" s="8"/>
      <c r="H11">
        <v>550</v>
      </c>
      <c r="J11">
        <v>3.5</v>
      </c>
      <c r="K11" s="26">
        <v>550</v>
      </c>
      <c r="M11">
        <v>3.4</v>
      </c>
      <c r="N11" s="26">
        <v>550</v>
      </c>
      <c r="O11" s="28">
        <v>8.45</v>
      </c>
      <c r="P11">
        <v>3</v>
      </c>
      <c r="Q11" s="26">
        <v>550</v>
      </c>
      <c r="R11" s="28">
        <v>7.96</v>
      </c>
      <c r="S11">
        <v>2.5</v>
      </c>
      <c r="T11" s="26">
        <v>550</v>
      </c>
      <c r="U11" s="58">
        <v>110</v>
      </c>
      <c r="V11" s="28">
        <v>7.46</v>
      </c>
      <c r="W11">
        <v>2</v>
      </c>
      <c r="Y11" s="26">
        <v>550</v>
      </c>
      <c r="Z11" s="55">
        <v>6.96</v>
      </c>
      <c r="AA11" s="28">
        <v>1.5</v>
      </c>
      <c r="AB11" s="26">
        <v>550</v>
      </c>
      <c r="AC11" s="29">
        <v>6.465</v>
      </c>
      <c r="AD11">
        <v>1</v>
      </c>
    </row>
    <row r="12" spans="4:30" ht="12.75">
      <c r="D12" s="8"/>
      <c r="H12">
        <v>596</v>
      </c>
      <c r="J12">
        <v>3.5</v>
      </c>
      <c r="K12" s="26">
        <v>596</v>
      </c>
      <c r="M12">
        <v>3.4</v>
      </c>
      <c r="N12" s="26">
        <v>596</v>
      </c>
      <c r="O12" s="28">
        <v>8.49</v>
      </c>
      <c r="P12">
        <v>3</v>
      </c>
      <c r="Q12" s="26">
        <v>596</v>
      </c>
      <c r="R12" s="28">
        <v>8.01</v>
      </c>
      <c r="S12">
        <v>2.5</v>
      </c>
      <c r="T12" s="26">
        <v>596</v>
      </c>
      <c r="U12" s="58">
        <v>120</v>
      </c>
      <c r="V12" s="28">
        <v>7.5</v>
      </c>
      <c r="W12">
        <v>2</v>
      </c>
      <c r="Y12" s="26">
        <v>596</v>
      </c>
      <c r="Z12" s="28">
        <v>7.01</v>
      </c>
      <c r="AA12" s="28">
        <v>1.5</v>
      </c>
      <c r="AB12" s="26">
        <v>596</v>
      </c>
      <c r="AC12" s="28">
        <v>6.51</v>
      </c>
      <c r="AD12">
        <v>1</v>
      </c>
    </row>
    <row r="13" spans="4:30" ht="12.75">
      <c r="D13" s="8"/>
      <c r="K13" s="27"/>
      <c r="Q13" s="26">
        <v>702</v>
      </c>
      <c r="R13" s="28">
        <v>8.07</v>
      </c>
      <c r="S13">
        <v>2.5</v>
      </c>
      <c r="T13" s="26">
        <v>702</v>
      </c>
      <c r="V13" s="28">
        <v>7.57</v>
      </c>
      <c r="W13">
        <v>2</v>
      </c>
      <c r="Y13" s="26">
        <v>702</v>
      </c>
      <c r="Z13" s="28">
        <v>7.08</v>
      </c>
      <c r="AA13" s="28">
        <v>1.5</v>
      </c>
      <c r="AB13" s="26">
        <v>702</v>
      </c>
      <c r="AC13" s="28">
        <v>6.58</v>
      </c>
      <c r="AD13">
        <v>1</v>
      </c>
    </row>
    <row r="14" spans="4:30" ht="12.75">
      <c r="D14" s="8"/>
      <c r="K14" s="27"/>
      <c r="T14" s="26">
        <v>851</v>
      </c>
      <c r="V14" s="28">
        <v>7.64</v>
      </c>
      <c r="W14">
        <v>2</v>
      </c>
      <c r="Y14" s="26">
        <v>851</v>
      </c>
      <c r="Z14" s="28">
        <v>7.14</v>
      </c>
      <c r="AA14" s="28">
        <v>1.5</v>
      </c>
      <c r="AB14" s="26">
        <v>851</v>
      </c>
      <c r="AC14" s="28">
        <v>6.65</v>
      </c>
      <c r="AD14">
        <v>1</v>
      </c>
    </row>
    <row r="15" spans="4:30" ht="12.75">
      <c r="D15" s="8"/>
      <c r="K15" s="27"/>
      <c r="T15" s="26">
        <v>994</v>
      </c>
      <c r="V15" s="28">
        <v>7.71</v>
      </c>
      <c r="W15">
        <v>2</v>
      </c>
      <c r="Y15" s="26">
        <v>994</v>
      </c>
      <c r="Z15" s="28">
        <v>7.21</v>
      </c>
      <c r="AA15" s="28">
        <v>1.5</v>
      </c>
      <c r="AB15" s="26">
        <v>994</v>
      </c>
      <c r="AC15" s="28">
        <v>6.71</v>
      </c>
      <c r="AD15">
        <v>1</v>
      </c>
    </row>
    <row r="16" spans="1:25" ht="12.75">
      <c r="A16" s="8" t="s">
        <v>363</v>
      </c>
      <c r="B16">
        <v>44.5</v>
      </c>
      <c r="C16">
        <v>6.37</v>
      </c>
      <c r="D16" s="8">
        <v>2</v>
      </c>
      <c r="E16">
        <v>-3.01</v>
      </c>
      <c r="F16">
        <f>E16+0.05</f>
        <v>-2.96</v>
      </c>
      <c r="K16" s="27"/>
    </row>
    <row r="17" spans="1:27" ht="12.75">
      <c r="A17" s="8" t="s">
        <v>362</v>
      </c>
      <c r="B17">
        <v>44.5</v>
      </c>
      <c r="C17">
        <v>6.86</v>
      </c>
      <c r="D17">
        <v>2.5</v>
      </c>
      <c r="E17">
        <v>-2.52</v>
      </c>
      <c r="F17">
        <f>E17+0.05</f>
        <v>-2.47</v>
      </c>
      <c r="H17" t="s">
        <v>22</v>
      </c>
      <c r="I17" t="s">
        <v>116</v>
      </c>
      <c r="J17" t="s">
        <v>223</v>
      </c>
      <c r="K17" s="26" t="s">
        <v>22</v>
      </c>
      <c r="L17" t="s">
        <v>116</v>
      </c>
      <c r="M17" t="s">
        <v>223</v>
      </c>
      <c r="N17" s="26" t="s">
        <v>22</v>
      </c>
      <c r="O17" t="s">
        <v>116</v>
      </c>
      <c r="P17" t="s">
        <v>223</v>
      </c>
      <c r="Q17" s="26" t="s">
        <v>22</v>
      </c>
      <c r="R17" t="s">
        <v>116</v>
      </c>
      <c r="S17" t="s">
        <v>223</v>
      </c>
      <c r="T17" s="26" t="s">
        <v>22</v>
      </c>
      <c r="V17" t="s">
        <v>116</v>
      </c>
      <c r="W17" t="s">
        <v>223</v>
      </c>
      <c r="Y17" s="26" t="s">
        <v>22</v>
      </c>
      <c r="Z17" t="s">
        <v>116</v>
      </c>
      <c r="AA17" t="s">
        <v>223</v>
      </c>
    </row>
    <row r="18" spans="1:27" ht="12.75">
      <c r="A18" t="s">
        <v>147</v>
      </c>
      <c r="B18">
        <v>44.5</v>
      </c>
      <c r="C18">
        <v>7</v>
      </c>
      <c r="D18" s="8">
        <v>2.64</v>
      </c>
      <c r="E18">
        <v>-2.38</v>
      </c>
      <c r="F18">
        <f>E18+0.05</f>
        <v>-2.33</v>
      </c>
      <c r="L18" s="28"/>
      <c r="M18" s="28"/>
      <c r="N18" s="26">
        <v>55</v>
      </c>
      <c r="O18" s="28">
        <v>9.27</v>
      </c>
      <c r="P18" s="28">
        <v>0</v>
      </c>
      <c r="Q18" s="26">
        <v>44.5</v>
      </c>
      <c r="R18" s="29"/>
      <c r="S18" s="28">
        <v>-0.5</v>
      </c>
      <c r="T18" s="26">
        <v>44.5</v>
      </c>
      <c r="V18" s="29">
        <v>8.21</v>
      </c>
      <c r="W18" s="28">
        <v>-1</v>
      </c>
      <c r="X18" s="28"/>
      <c r="Y18" s="26">
        <v>44.5</v>
      </c>
      <c r="Z18" s="28">
        <v>7.33</v>
      </c>
      <c r="AA18" s="28">
        <v>-2</v>
      </c>
    </row>
    <row r="19" spans="1:27" ht="12.75">
      <c r="A19" s="8" t="s">
        <v>160</v>
      </c>
      <c r="B19">
        <v>44.5</v>
      </c>
      <c r="C19">
        <v>7.1</v>
      </c>
      <c r="D19" s="8">
        <v>2.74</v>
      </c>
      <c r="E19">
        <v>-2.28</v>
      </c>
      <c r="F19">
        <f aca="true" t="shared" si="0" ref="F19:F98">E19+0.05</f>
        <v>-2.23</v>
      </c>
      <c r="L19" s="28"/>
      <c r="M19" s="28"/>
      <c r="N19" s="26">
        <v>120.1</v>
      </c>
      <c r="O19" s="28">
        <v>8.41</v>
      </c>
      <c r="P19" s="28">
        <v>0</v>
      </c>
      <c r="Q19" s="26">
        <v>66</v>
      </c>
      <c r="R19" s="29">
        <v>8.45</v>
      </c>
      <c r="S19" s="28">
        <v>-0.5</v>
      </c>
      <c r="T19" s="26">
        <v>66</v>
      </c>
      <c r="V19" s="28">
        <v>8</v>
      </c>
      <c r="W19" s="28">
        <v>-1</v>
      </c>
      <c r="X19" s="28"/>
      <c r="Y19" s="26">
        <v>66</v>
      </c>
      <c r="Z19" s="28">
        <v>7.12</v>
      </c>
      <c r="AA19" s="28">
        <v>-2</v>
      </c>
    </row>
    <row r="20" spans="1:27" ht="12.75">
      <c r="A20" s="8" t="s">
        <v>161</v>
      </c>
      <c r="B20">
        <v>44.5</v>
      </c>
      <c r="C20">
        <v>7.2</v>
      </c>
      <c r="D20" s="8">
        <v>2.84</v>
      </c>
      <c r="E20">
        <v>-2.18</v>
      </c>
      <c r="F20">
        <f t="shared" si="0"/>
        <v>-2.1300000000000003</v>
      </c>
      <c r="L20" s="28"/>
      <c r="M20" s="28"/>
      <c r="N20" s="26">
        <v>138</v>
      </c>
      <c r="O20" s="28">
        <v>8.31</v>
      </c>
      <c r="P20" s="28">
        <v>0</v>
      </c>
      <c r="Q20" s="26">
        <v>138</v>
      </c>
      <c r="R20" s="28">
        <v>7.8</v>
      </c>
      <c r="S20" s="28">
        <v>-0.5</v>
      </c>
      <c r="T20" s="26">
        <v>138</v>
      </c>
      <c r="V20" s="28">
        <v>7.33</v>
      </c>
      <c r="W20" s="28">
        <v>-1</v>
      </c>
      <c r="X20" s="28"/>
      <c r="Y20" s="26">
        <v>138</v>
      </c>
      <c r="Z20" s="28">
        <v>6.33</v>
      </c>
      <c r="AA20" s="28">
        <v>-2</v>
      </c>
    </row>
    <row r="21" spans="1:27" ht="12.75">
      <c r="A21" s="8" t="s">
        <v>162</v>
      </c>
      <c r="B21">
        <v>44.5</v>
      </c>
      <c r="C21">
        <v>7.3</v>
      </c>
      <c r="D21" s="8">
        <v>2.94</v>
      </c>
      <c r="E21">
        <v>-2.08</v>
      </c>
      <c r="F21">
        <f t="shared" si="0"/>
        <v>-2.0300000000000002</v>
      </c>
      <c r="K21" s="26">
        <v>199</v>
      </c>
      <c r="L21" s="28">
        <v>8.49</v>
      </c>
      <c r="M21" s="28">
        <v>0.5</v>
      </c>
      <c r="N21" s="26">
        <v>199</v>
      </c>
      <c r="O21" s="28">
        <v>7.97</v>
      </c>
      <c r="P21" s="28">
        <v>0</v>
      </c>
      <c r="Q21" s="26">
        <v>199</v>
      </c>
      <c r="R21" s="28">
        <v>7.47</v>
      </c>
      <c r="S21" s="28">
        <v>-0.5</v>
      </c>
      <c r="T21" s="26">
        <v>199</v>
      </c>
      <c r="V21" s="28">
        <v>6.96</v>
      </c>
      <c r="W21" s="28">
        <v>-1</v>
      </c>
      <c r="X21" s="28"/>
      <c r="Y21" s="26">
        <v>199</v>
      </c>
      <c r="Z21" s="28">
        <v>5.97</v>
      </c>
      <c r="AA21" s="28">
        <v>-2</v>
      </c>
    </row>
    <row r="22" spans="1:28" ht="12.75">
      <c r="A22" s="8" t="s">
        <v>163</v>
      </c>
      <c r="B22">
        <v>44.5</v>
      </c>
      <c r="C22">
        <v>7.4</v>
      </c>
      <c r="D22" s="8">
        <v>3.04</v>
      </c>
      <c r="E22">
        <v>-1.98</v>
      </c>
      <c r="F22">
        <f t="shared" si="0"/>
        <v>-1.93</v>
      </c>
      <c r="H22">
        <v>297</v>
      </c>
      <c r="I22">
        <v>8.65</v>
      </c>
      <c r="J22">
        <v>1</v>
      </c>
      <c r="K22" s="26">
        <v>297</v>
      </c>
      <c r="L22" s="28">
        <v>8.13</v>
      </c>
      <c r="M22" s="28">
        <v>0.5</v>
      </c>
      <c r="N22" s="26">
        <v>297</v>
      </c>
      <c r="O22" s="28">
        <v>7.62</v>
      </c>
      <c r="P22" s="28">
        <v>0</v>
      </c>
      <c r="Q22" s="26">
        <v>297</v>
      </c>
      <c r="R22" s="30">
        <v>7.11</v>
      </c>
      <c r="S22" s="28">
        <v>-0.5</v>
      </c>
      <c r="T22" s="26">
        <v>297</v>
      </c>
      <c r="V22" s="30">
        <v>6.61</v>
      </c>
      <c r="W22" s="28">
        <v>-1</v>
      </c>
      <c r="X22" s="28"/>
      <c r="Y22" s="26"/>
      <c r="Z22" s="28"/>
      <c r="AA22" s="28"/>
      <c r="AB22" s="26"/>
    </row>
    <row r="23" spans="1:30" ht="12.75">
      <c r="A23" s="8" t="s">
        <v>164</v>
      </c>
      <c r="B23">
        <v>44.5</v>
      </c>
      <c r="C23">
        <v>7.5</v>
      </c>
      <c r="D23" s="8">
        <v>3.14</v>
      </c>
      <c r="E23">
        <v>-1.88</v>
      </c>
      <c r="F23">
        <f t="shared" si="0"/>
        <v>-1.8299999999999998</v>
      </c>
      <c r="H23">
        <v>364</v>
      </c>
      <c r="I23">
        <v>8.45</v>
      </c>
      <c r="J23">
        <v>1</v>
      </c>
      <c r="K23" s="26">
        <v>364</v>
      </c>
      <c r="L23" s="28">
        <v>7.95</v>
      </c>
      <c r="M23" s="28">
        <v>0.5</v>
      </c>
      <c r="N23" s="26">
        <v>364</v>
      </c>
      <c r="O23" s="28">
        <v>7.45</v>
      </c>
      <c r="P23" s="28">
        <v>0</v>
      </c>
      <c r="Q23" s="26">
        <v>364</v>
      </c>
      <c r="R23" s="30">
        <v>6.95</v>
      </c>
      <c r="S23" s="28">
        <v>-0.5</v>
      </c>
      <c r="T23" s="26">
        <v>364</v>
      </c>
      <c r="V23" s="53">
        <v>6.45</v>
      </c>
      <c r="W23" s="28">
        <v>-1</v>
      </c>
      <c r="X23" s="28"/>
      <c r="Y23" s="26"/>
      <c r="Z23" s="28"/>
      <c r="AA23" s="28"/>
      <c r="AB23" s="26"/>
      <c r="AC23" s="28"/>
      <c r="AD23" s="28"/>
    </row>
    <row r="24" spans="1:30" ht="12.75">
      <c r="A24" s="8" t="s">
        <v>165</v>
      </c>
      <c r="B24">
        <v>44.5</v>
      </c>
      <c r="C24">
        <v>7.6</v>
      </c>
      <c r="D24" s="8">
        <v>3.24</v>
      </c>
      <c r="E24">
        <v>-1.78</v>
      </c>
      <c r="F24">
        <f t="shared" si="0"/>
        <v>-1.73</v>
      </c>
      <c r="H24">
        <v>421</v>
      </c>
      <c r="I24">
        <v>8.33</v>
      </c>
      <c r="J24">
        <v>1</v>
      </c>
      <c r="K24" s="26">
        <v>421</v>
      </c>
      <c r="L24" s="28">
        <v>7.82</v>
      </c>
      <c r="M24" s="28">
        <v>0.5</v>
      </c>
      <c r="N24" s="26">
        <v>421</v>
      </c>
      <c r="O24" s="28">
        <v>7.31</v>
      </c>
      <c r="P24" s="28">
        <v>0</v>
      </c>
      <c r="Q24" s="26">
        <v>421</v>
      </c>
      <c r="R24" s="53">
        <v>6.82</v>
      </c>
      <c r="S24" s="28">
        <v>-0.5</v>
      </c>
      <c r="T24" s="26">
        <v>421</v>
      </c>
      <c r="V24" s="53">
        <v>6.31</v>
      </c>
      <c r="W24" s="28">
        <v>-1</v>
      </c>
      <c r="X24" s="28"/>
      <c r="Y24" s="26"/>
      <c r="Z24" s="28"/>
      <c r="AA24" s="28"/>
      <c r="AB24" s="26"/>
      <c r="AC24" s="28"/>
      <c r="AD24" s="28"/>
    </row>
    <row r="25" spans="1:30" ht="12.75">
      <c r="A25" s="8" t="s">
        <v>166</v>
      </c>
      <c r="B25">
        <v>44.5</v>
      </c>
      <c r="C25">
        <v>7.7</v>
      </c>
      <c r="D25" s="8">
        <v>3.34</v>
      </c>
      <c r="E25">
        <v>-1.68</v>
      </c>
      <c r="F25">
        <f t="shared" si="0"/>
        <v>-1.63</v>
      </c>
      <c r="H25">
        <v>505</v>
      </c>
      <c r="I25">
        <v>8.18</v>
      </c>
      <c r="J25">
        <v>1</v>
      </c>
      <c r="K25" s="26">
        <v>505</v>
      </c>
      <c r="L25" s="28">
        <v>7.66</v>
      </c>
      <c r="M25" s="28">
        <v>0.5</v>
      </c>
      <c r="N25" s="26">
        <v>505</v>
      </c>
      <c r="O25" s="28">
        <v>7.16</v>
      </c>
      <c r="P25" s="28">
        <v>0</v>
      </c>
      <c r="Q25" s="26">
        <v>505</v>
      </c>
      <c r="R25" s="53">
        <v>6.66</v>
      </c>
      <c r="S25" s="28">
        <v>-0.5</v>
      </c>
      <c r="T25" s="26">
        <v>505</v>
      </c>
      <c r="V25" s="53">
        <v>6.16</v>
      </c>
      <c r="W25" s="28">
        <v>-1</v>
      </c>
      <c r="X25" s="28"/>
      <c r="Y25" s="26"/>
      <c r="Z25" s="28"/>
      <c r="AA25" s="28"/>
      <c r="AB25" s="26"/>
      <c r="AC25" s="62">
        <v>596</v>
      </c>
      <c r="AD25" s="62">
        <v>7.01</v>
      </c>
    </row>
    <row r="26" spans="1:30" ht="12.75">
      <c r="A26" s="8" t="s">
        <v>167</v>
      </c>
      <c r="B26">
        <v>44.5</v>
      </c>
      <c r="C26">
        <v>7.8</v>
      </c>
      <c r="D26" s="8">
        <v>3.44</v>
      </c>
      <c r="E26">
        <v>-1.58</v>
      </c>
      <c r="F26">
        <f t="shared" si="0"/>
        <v>-1.53</v>
      </c>
      <c r="H26">
        <v>550</v>
      </c>
      <c r="I26">
        <v>8.1</v>
      </c>
      <c r="J26">
        <v>1</v>
      </c>
      <c r="K26" s="26">
        <v>550</v>
      </c>
      <c r="L26" s="28">
        <v>7.59</v>
      </c>
      <c r="M26" s="28">
        <v>0.5</v>
      </c>
      <c r="N26" s="26">
        <v>550</v>
      </c>
      <c r="O26" s="28">
        <v>7.08</v>
      </c>
      <c r="P26" s="28">
        <v>0</v>
      </c>
      <c r="Q26" s="26">
        <v>550</v>
      </c>
      <c r="R26" s="54">
        <v>6.58</v>
      </c>
      <c r="S26" s="28">
        <v>-0.5</v>
      </c>
      <c r="T26" s="26">
        <v>550</v>
      </c>
      <c r="V26" s="29">
        <v>6.08</v>
      </c>
      <c r="W26" s="28">
        <v>-1</v>
      </c>
      <c r="X26" s="28"/>
      <c r="Y26" s="26"/>
      <c r="Z26" s="28"/>
      <c r="AA26" s="28"/>
      <c r="AB26" s="26"/>
      <c r="AC26" s="62">
        <v>596</v>
      </c>
      <c r="AD26" s="62">
        <v>8.02</v>
      </c>
    </row>
    <row r="27" spans="1:30" ht="12.75">
      <c r="A27" s="8" t="s">
        <v>168</v>
      </c>
      <c r="B27">
        <v>44.5</v>
      </c>
      <c r="C27">
        <v>7.9</v>
      </c>
      <c r="D27" s="8">
        <v>3.54</v>
      </c>
      <c r="E27">
        <v>-1.48</v>
      </c>
      <c r="F27">
        <f t="shared" si="0"/>
        <v>-1.43</v>
      </c>
      <c r="H27">
        <v>596</v>
      </c>
      <c r="I27">
        <v>8.02</v>
      </c>
      <c r="J27">
        <v>1</v>
      </c>
      <c r="K27" s="26">
        <v>596</v>
      </c>
      <c r="L27" s="30">
        <v>7.51</v>
      </c>
      <c r="M27" s="28">
        <v>0.5</v>
      </c>
      <c r="N27" s="26">
        <v>596</v>
      </c>
      <c r="O27" s="28">
        <v>7.01</v>
      </c>
      <c r="P27" s="28">
        <v>0</v>
      </c>
      <c r="Q27" s="26">
        <v>596</v>
      </c>
      <c r="R27" s="28">
        <v>6.51</v>
      </c>
      <c r="S27" s="28">
        <v>-0.5</v>
      </c>
      <c r="T27" s="26">
        <v>596</v>
      </c>
      <c r="V27" s="28">
        <v>6</v>
      </c>
      <c r="W27" s="28">
        <v>-1</v>
      </c>
      <c r="X27" s="28"/>
      <c r="Y27" s="26"/>
      <c r="Z27" s="28"/>
      <c r="AA27" s="28"/>
      <c r="AB27" s="26"/>
      <c r="AC27" s="28"/>
      <c r="AD27" s="28"/>
    </row>
    <row r="28" spans="4:30" ht="12.75">
      <c r="D28" s="8"/>
      <c r="H28">
        <v>702</v>
      </c>
      <c r="I28">
        <v>7.89</v>
      </c>
      <c r="J28">
        <v>1</v>
      </c>
      <c r="K28">
        <v>702</v>
      </c>
      <c r="L28" s="30">
        <v>7.38</v>
      </c>
      <c r="M28" s="28">
        <v>0.5</v>
      </c>
      <c r="N28">
        <v>702</v>
      </c>
      <c r="O28" s="28">
        <v>6.88</v>
      </c>
      <c r="P28" s="28">
        <v>0</v>
      </c>
      <c r="Q28">
        <v>702</v>
      </c>
      <c r="R28" s="28">
        <v>6.37</v>
      </c>
      <c r="S28" s="28">
        <v>-0.5</v>
      </c>
      <c r="T28">
        <v>702</v>
      </c>
      <c r="V28" s="28">
        <v>5.88</v>
      </c>
      <c r="W28" s="28">
        <v>-1</v>
      </c>
      <c r="X28" s="28"/>
      <c r="AB28" s="26"/>
      <c r="AC28" s="62">
        <v>297</v>
      </c>
      <c r="AD28" s="62">
        <v>8.13</v>
      </c>
    </row>
    <row r="29" spans="4:30" ht="12.75">
      <c r="D29" s="8"/>
      <c r="H29">
        <v>851</v>
      </c>
      <c r="I29">
        <v>7.74</v>
      </c>
      <c r="J29">
        <v>1</v>
      </c>
      <c r="K29" s="26">
        <v>851</v>
      </c>
      <c r="L29" s="53">
        <v>7.24</v>
      </c>
      <c r="M29" s="28">
        <v>0.5</v>
      </c>
      <c r="N29" s="26">
        <v>851</v>
      </c>
      <c r="O29" s="28">
        <v>6.74</v>
      </c>
      <c r="P29" s="28">
        <v>0</v>
      </c>
      <c r="Q29" s="26">
        <v>851</v>
      </c>
      <c r="R29" s="28">
        <v>6.23</v>
      </c>
      <c r="S29" s="28">
        <v>-0.5</v>
      </c>
      <c r="T29" s="26">
        <v>851</v>
      </c>
      <c r="V29" s="28">
        <v>5.73</v>
      </c>
      <c r="W29" s="28">
        <v>-1</v>
      </c>
      <c r="X29" s="28"/>
      <c r="AB29" s="26"/>
      <c r="AC29" s="62">
        <v>596</v>
      </c>
      <c r="AD29" s="62">
        <v>8.01</v>
      </c>
    </row>
    <row r="30" spans="1:30" ht="12.75">
      <c r="A30" t="s">
        <v>130</v>
      </c>
      <c r="B30">
        <v>66</v>
      </c>
      <c r="C30">
        <v>7.9</v>
      </c>
      <c r="D30">
        <v>3.43</v>
      </c>
      <c r="E30">
        <v>-1.15</v>
      </c>
      <c r="F30">
        <f t="shared" si="0"/>
        <v>-1.0999999999999999</v>
      </c>
      <c r="H30" s="26">
        <v>994</v>
      </c>
      <c r="I30" s="28">
        <v>7.61</v>
      </c>
      <c r="J30">
        <v>1</v>
      </c>
      <c r="K30" s="26">
        <v>994</v>
      </c>
      <c r="L30" s="53">
        <v>7.11</v>
      </c>
      <c r="M30" s="28">
        <v>0.5</v>
      </c>
      <c r="N30" s="26">
        <v>994</v>
      </c>
      <c r="O30" s="28">
        <v>6.61</v>
      </c>
      <c r="P30" s="28">
        <v>0</v>
      </c>
      <c r="Q30" s="26">
        <v>994</v>
      </c>
      <c r="R30" s="28">
        <v>6.11</v>
      </c>
      <c r="S30" s="28">
        <v>-0.5</v>
      </c>
      <c r="T30" s="26">
        <v>994</v>
      </c>
      <c r="V30" s="28">
        <v>5.61</v>
      </c>
      <c r="W30" s="28">
        <v>-1</v>
      </c>
      <c r="X30" s="28"/>
      <c r="AB30" s="26"/>
      <c r="AC30" s="28"/>
      <c r="AD30" s="28"/>
    </row>
    <row r="31" spans="1:30" ht="12.75">
      <c r="A31" t="s">
        <v>129</v>
      </c>
      <c r="B31">
        <v>66</v>
      </c>
      <c r="C31">
        <v>7.8</v>
      </c>
      <c r="D31">
        <v>3.33</v>
      </c>
      <c r="E31">
        <v>-1.26</v>
      </c>
      <c r="F31">
        <f t="shared" si="0"/>
        <v>-1.21</v>
      </c>
      <c r="AB31" s="26"/>
      <c r="AC31" s="28"/>
      <c r="AD31" s="28"/>
    </row>
    <row r="32" spans="1:30" ht="12.75">
      <c r="A32" t="s">
        <v>118</v>
      </c>
      <c r="B32">
        <v>66</v>
      </c>
      <c r="C32">
        <v>7.7</v>
      </c>
      <c r="D32">
        <v>3.23</v>
      </c>
      <c r="E32">
        <v>-1.36</v>
      </c>
      <c r="F32">
        <f t="shared" si="0"/>
        <v>-1.31</v>
      </c>
      <c r="J32" s="64" t="s">
        <v>371</v>
      </c>
      <c r="K32" s="65"/>
      <c r="L32" s="65"/>
      <c r="M32" s="65"/>
      <c r="N32" s="65"/>
      <c r="O32" s="65"/>
      <c r="P32" s="65"/>
      <c r="Q32" s="65"/>
      <c r="R32" s="65"/>
      <c r="S32" s="66"/>
      <c r="T32" s="31"/>
      <c r="AB32" s="26"/>
      <c r="AC32" s="28"/>
      <c r="AD32" s="28"/>
    </row>
    <row r="33" spans="1:20" ht="12.75">
      <c r="A33" t="s">
        <v>119</v>
      </c>
      <c r="B33">
        <v>66</v>
      </c>
      <c r="C33">
        <v>7.6</v>
      </c>
      <c r="D33">
        <v>3.14</v>
      </c>
      <c r="E33">
        <v>-1.47</v>
      </c>
      <c r="F33">
        <f t="shared" si="0"/>
        <v>-1.42</v>
      </c>
      <c r="J33" s="63"/>
      <c r="K33" s="67"/>
      <c r="L33" s="67"/>
      <c r="M33" s="67"/>
      <c r="N33" s="67"/>
      <c r="O33" s="67"/>
      <c r="P33" s="67"/>
      <c r="Q33" s="67"/>
      <c r="R33" s="67"/>
      <c r="S33" s="68"/>
      <c r="T33" s="31"/>
    </row>
    <row r="34" spans="1:23" ht="38.25">
      <c r="A34" t="s">
        <v>120</v>
      </c>
      <c r="B34">
        <v>66</v>
      </c>
      <c r="C34">
        <v>7.5</v>
      </c>
      <c r="D34">
        <v>3.05</v>
      </c>
      <c r="E34">
        <v>-1.57</v>
      </c>
      <c r="F34">
        <f t="shared" si="0"/>
        <v>-1.52</v>
      </c>
      <c r="J34" s="72" t="s">
        <v>372</v>
      </c>
      <c r="K34" s="73" t="s">
        <v>373</v>
      </c>
      <c r="L34" s="74" t="s">
        <v>374</v>
      </c>
      <c r="M34" s="73" t="s">
        <v>375</v>
      </c>
      <c r="N34" s="73" t="s">
        <v>389</v>
      </c>
      <c r="O34" s="73" t="s">
        <v>376</v>
      </c>
      <c r="P34" s="67"/>
      <c r="Q34" s="67"/>
      <c r="R34" s="67"/>
      <c r="S34" s="68"/>
      <c r="T34" s="31"/>
      <c r="W34" s="25" t="s">
        <v>370</v>
      </c>
    </row>
    <row r="35" spans="1:25" ht="12.75">
      <c r="A35" t="s">
        <v>121</v>
      </c>
      <c r="B35">
        <v>66</v>
      </c>
      <c r="C35">
        <v>7.4</v>
      </c>
      <c r="D35">
        <v>2.96</v>
      </c>
      <c r="E35">
        <v>-1.68</v>
      </c>
      <c r="F35">
        <f t="shared" si="0"/>
        <v>-1.63</v>
      </c>
      <c r="J35" s="72" t="s">
        <v>377</v>
      </c>
      <c r="K35" s="67">
        <v>-3.49</v>
      </c>
      <c r="L35" s="73">
        <f>0.0005989+0.0000494</f>
        <v>0.0006483</v>
      </c>
      <c r="M35" s="67">
        <v>0.0013157</v>
      </c>
      <c r="N35" s="67">
        <f>K35</f>
        <v>-3.49</v>
      </c>
      <c r="O35" s="67">
        <f>L35/M35*100</f>
        <v>49.274150642243676</v>
      </c>
      <c r="P35" s="67"/>
      <c r="Q35" s="67"/>
      <c r="R35" s="67"/>
      <c r="S35" s="68"/>
      <c r="T35"/>
      <c r="U35" s="26"/>
      <c r="V35" s="31"/>
      <c r="W35" s="31" t="s">
        <v>360</v>
      </c>
      <c r="X35" s="31"/>
      <c r="Y35" t="s">
        <v>355</v>
      </c>
    </row>
    <row r="36" spans="1:40" ht="51">
      <c r="A36" t="s">
        <v>122</v>
      </c>
      <c r="B36">
        <v>66</v>
      </c>
      <c r="C36">
        <v>7.3</v>
      </c>
      <c r="D36">
        <v>2.87</v>
      </c>
      <c r="E36">
        <v>-1.79</v>
      </c>
      <c r="F36">
        <f t="shared" si="0"/>
        <v>-1.74</v>
      </c>
      <c r="J36" s="72" t="s">
        <v>378</v>
      </c>
      <c r="K36" s="67">
        <v>-2.97</v>
      </c>
      <c r="L36" s="67">
        <f>0.0008984+0.0000741</f>
        <v>0.0009725000000000001</v>
      </c>
      <c r="M36" s="67">
        <f>0.0020087</f>
        <v>0.0020087</v>
      </c>
      <c r="N36" s="67">
        <f>K36</f>
        <v>-2.97</v>
      </c>
      <c r="O36" s="67">
        <f>L36/M36*100</f>
        <v>48.41439737143426</v>
      </c>
      <c r="P36" s="67"/>
      <c r="Q36" s="67"/>
      <c r="R36" s="67"/>
      <c r="S36" s="68"/>
      <c r="T36"/>
      <c r="U36" s="26"/>
      <c r="V36" s="59" t="s">
        <v>361</v>
      </c>
      <c r="W36" s="60" t="s">
        <v>365</v>
      </c>
      <c r="X36" s="31" t="s">
        <v>22</v>
      </c>
      <c r="Y36" t="s">
        <v>339</v>
      </c>
      <c r="Z36" t="s">
        <v>340</v>
      </c>
      <c r="AA36" t="s">
        <v>341</v>
      </c>
      <c r="AB36" t="s">
        <v>342</v>
      </c>
      <c r="AC36" t="s">
        <v>343</v>
      </c>
      <c r="AD36" t="s">
        <v>344</v>
      </c>
      <c r="AE36" t="s">
        <v>345</v>
      </c>
      <c r="AF36" t="s">
        <v>346</v>
      </c>
      <c r="AG36" t="s">
        <v>347</v>
      </c>
      <c r="AH36" t="s">
        <v>348</v>
      </c>
      <c r="AI36" t="s">
        <v>349</v>
      </c>
      <c r="AJ36" t="s">
        <v>350</v>
      </c>
      <c r="AK36" t="s">
        <v>351</v>
      </c>
      <c r="AL36" t="s">
        <v>352</v>
      </c>
      <c r="AM36" t="s">
        <v>353</v>
      </c>
      <c r="AN36" t="s">
        <v>354</v>
      </c>
    </row>
    <row r="37" spans="1:40" ht="12.75">
      <c r="A37" t="s">
        <v>123</v>
      </c>
      <c r="B37">
        <v>66</v>
      </c>
      <c r="C37">
        <v>7.2</v>
      </c>
      <c r="D37">
        <v>2.78</v>
      </c>
      <c r="E37">
        <v>-1.91</v>
      </c>
      <c r="F37">
        <f t="shared" si="0"/>
        <v>-1.8599999999999999</v>
      </c>
      <c r="J37" s="72" t="s">
        <v>379</v>
      </c>
      <c r="K37" s="67">
        <v>-2.44</v>
      </c>
      <c r="L37" s="67">
        <f>0.0013976+0.0001152</f>
        <v>0.0015128</v>
      </c>
      <c r="M37" s="67">
        <f>0.00323333</f>
        <v>0.00323333</v>
      </c>
      <c r="N37" s="67">
        <f>K37</f>
        <v>-2.44</v>
      </c>
      <c r="O37" s="67">
        <f>L37/M37*100</f>
        <v>46.78767710069804</v>
      </c>
      <c r="P37" s="67"/>
      <c r="Q37" s="67"/>
      <c r="R37" s="67"/>
      <c r="S37" s="68"/>
      <c r="T37"/>
      <c r="U37" s="26"/>
      <c r="V37" s="31"/>
      <c r="W37">
        <v>11</v>
      </c>
      <c r="Y37" t="s">
        <v>339</v>
      </c>
      <c r="Z37" t="s">
        <v>340</v>
      </c>
      <c r="AA37" t="s">
        <v>341</v>
      </c>
      <c r="AB37" t="s">
        <v>342</v>
      </c>
      <c r="AC37" t="s">
        <v>343</v>
      </c>
      <c r="AD37" t="s">
        <v>344</v>
      </c>
      <c r="AE37" t="s">
        <v>345</v>
      </c>
      <c r="AF37" t="s">
        <v>346</v>
      </c>
      <c r="AG37" t="s">
        <v>347</v>
      </c>
      <c r="AH37" t="s">
        <v>348</v>
      </c>
      <c r="AI37" t="s">
        <v>349</v>
      </c>
      <c r="AJ37" t="s">
        <v>350</v>
      </c>
      <c r="AK37" t="s">
        <v>351</v>
      </c>
      <c r="AL37" t="s">
        <v>352</v>
      </c>
      <c r="AM37" t="s">
        <v>353</v>
      </c>
      <c r="AN37" t="s">
        <v>354</v>
      </c>
    </row>
    <row r="38" spans="1:40" ht="12.75">
      <c r="A38" t="s">
        <v>124</v>
      </c>
      <c r="B38">
        <v>66</v>
      </c>
      <c r="C38">
        <v>7.1</v>
      </c>
      <c r="D38">
        <v>2.64</v>
      </c>
      <c r="E38">
        <v>-1.97</v>
      </c>
      <c r="F38">
        <f t="shared" si="0"/>
        <v>-1.92</v>
      </c>
      <c r="J38" s="72" t="s">
        <v>380</v>
      </c>
      <c r="K38" s="67">
        <v>-2.17</v>
      </c>
      <c r="L38" s="67">
        <f>0.0016972+0.0001399</f>
        <v>0.0018371000000000001</v>
      </c>
      <c r="M38" s="67">
        <f>0.004157</f>
        <v>0.004157</v>
      </c>
      <c r="N38" s="67"/>
      <c r="O38" s="67">
        <f aca="true" t="shared" si="1" ref="O38:O45">L38/M38*100</f>
        <v>44.192927592013476</v>
      </c>
      <c r="P38" s="67"/>
      <c r="Q38" s="67"/>
      <c r="R38" s="67"/>
      <c r="S38" s="68"/>
      <c r="T38"/>
      <c r="U38" s="26"/>
      <c r="V38" s="31">
        <f aca="true" t="shared" si="2" ref="V38:V43">(AI38/40.08+AJ38/24.3)*2</f>
        <v>0</v>
      </c>
      <c r="W38">
        <v>11</v>
      </c>
      <c r="X38">
        <f aca="true" t="shared" si="3" ref="X38:X43">-0.002908389*V38^4+0.098890361*V38^3-1.916707014*V38^2+99.031446317*V38+12.547123733</f>
        <v>12.547123733</v>
      </c>
      <c r="Y38">
        <v>5.04</v>
      </c>
      <c r="Z38">
        <v>-0.4</v>
      </c>
      <c r="AA38">
        <v>1.35</v>
      </c>
      <c r="AB38">
        <v>3.4</v>
      </c>
      <c r="AC38">
        <v>10</v>
      </c>
      <c r="AD38">
        <v>-100</v>
      </c>
      <c r="AE38">
        <v>-100</v>
      </c>
      <c r="AF38">
        <v>-100</v>
      </c>
      <c r="AG38">
        <v>-100</v>
      </c>
      <c r="AH38">
        <v>-100</v>
      </c>
      <c r="AI38">
        <v>0</v>
      </c>
      <c r="AJ38">
        <v>0</v>
      </c>
      <c r="AK38">
        <v>2</v>
      </c>
      <c r="AL38">
        <v>0.5</v>
      </c>
      <c r="AM38">
        <v>3.47</v>
      </c>
      <c r="AN38">
        <v>0.5</v>
      </c>
    </row>
    <row r="39" spans="1:40" ht="12.75">
      <c r="A39" t="s">
        <v>125</v>
      </c>
      <c r="B39">
        <v>66</v>
      </c>
      <c r="C39">
        <v>7</v>
      </c>
      <c r="D39">
        <v>2.54</v>
      </c>
      <c r="E39">
        <v>-2.07</v>
      </c>
      <c r="F39">
        <f t="shared" si="0"/>
        <v>-2.02</v>
      </c>
      <c r="J39" s="72" t="s">
        <v>381</v>
      </c>
      <c r="K39" s="67">
        <v>-1.97</v>
      </c>
      <c r="L39" s="67">
        <f>0.0020467+0.0001687</f>
        <v>0.0022153999999999997</v>
      </c>
      <c r="M39" s="67">
        <f>0.0050242</f>
        <v>0.0050242</v>
      </c>
      <c r="N39" s="67">
        <f>K39</f>
        <v>-1.97</v>
      </c>
      <c r="O39" s="67">
        <f t="shared" si="1"/>
        <v>44.09458222204529</v>
      </c>
      <c r="P39" s="67"/>
      <c r="Q39" s="67"/>
      <c r="R39" s="67"/>
      <c r="S39" s="68"/>
      <c r="T39"/>
      <c r="U39" s="26"/>
      <c r="V39" s="31">
        <f t="shared" si="2"/>
        <v>0.011976047904191617</v>
      </c>
      <c r="W39">
        <f>X39-1.3</f>
        <v>12.432854342825244</v>
      </c>
      <c r="X39">
        <f t="shared" si="3"/>
        <v>13.732854342825245</v>
      </c>
      <c r="Y39">
        <v>5.81</v>
      </c>
      <c r="Z39">
        <v>0.2</v>
      </c>
      <c r="AA39">
        <v>1.71</v>
      </c>
      <c r="AB39">
        <v>3.37</v>
      </c>
      <c r="AC39">
        <v>10</v>
      </c>
      <c r="AD39">
        <v>-6.85</v>
      </c>
      <c r="AE39">
        <v>-7.11</v>
      </c>
      <c r="AF39">
        <v>-9.51</v>
      </c>
      <c r="AG39">
        <v>-100</v>
      </c>
      <c r="AH39">
        <v>-5.78</v>
      </c>
      <c r="AI39">
        <v>0.24</v>
      </c>
      <c r="AJ39">
        <v>0</v>
      </c>
      <c r="AK39">
        <v>2</v>
      </c>
      <c r="AL39">
        <v>0.5</v>
      </c>
      <c r="AM39">
        <v>3.47</v>
      </c>
      <c r="AN39">
        <v>0.5</v>
      </c>
    </row>
    <row r="40" spans="1:40" ht="12.75">
      <c r="A40" t="s">
        <v>126</v>
      </c>
      <c r="B40">
        <v>66</v>
      </c>
      <c r="C40">
        <v>6.9</v>
      </c>
      <c r="D40">
        <v>2.44</v>
      </c>
      <c r="E40">
        <v>-2.17</v>
      </c>
      <c r="F40">
        <f t="shared" si="0"/>
        <v>-2.12</v>
      </c>
      <c r="J40" s="72" t="s">
        <v>382</v>
      </c>
      <c r="K40" s="67">
        <v>-1.74</v>
      </c>
      <c r="L40" s="73">
        <f>0.0024962+0.0002058</f>
        <v>0.002702</v>
      </c>
      <c r="M40" s="67">
        <v>0.0064161</v>
      </c>
      <c r="N40" s="67">
        <f>K40</f>
        <v>-1.74</v>
      </c>
      <c r="O40" s="67">
        <f t="shared" si="1"/>
        <v>42.11280996243824</v>
      </c>
      <c r="P40" s="67"/>
      <c r="Q40" s="67"/>
      <c r="R40" s="67"/>
      <c r="S40" s="68"/>
      <c r="T40"/>
      <c r="U40" s="26"/>
      <c r="V40" s="31">
        <f t="shared" si="2"/>
        <v>0.023952095808383235</v>
      </c>
      <c r="W40">
        <f>X40-1.1</f>
        <v>13.818036160800839</v>
      </c>
      <c r="X40">
        <f t="shared" si="3"/>
        <v>14.918036160800838</v>
      </c>
      <c r="Y40">
        <v>6.03</v>
      </c>
      <c r="Z40">
        <v>0.4</v>
      </c>
      <c r="AA40">
        <v>2.08</v>
      </c>
      <c r="AB40">
        <v>3.34</v>
      </c>
      <c r="AC40">
        <v>10</v>
      </c>
      <c r="AD40">
        <v>-6.07</v>
      </c>
      <c r="AE40">
        <v>-6.33</v>
      </c>
      <c r="AF40">
        <v>-8.73</v>
      </c>
      <c r="AG40">
        <v>-100</v>
      </c>
      <c r="AH40">
        <v>-5.48</v>
      </c>
      <c r="AI40">
        <v>0.48</v>
      </c>
      <c r="AJ40">
        <v>0</v>
      </c>
      <c r="AK40">
        <v>2</v>
      </c>
      <c r="AL40">
        <v>0.5</v>
      </c>
      <c r="AM40">
        <v>3.47</v>
      </c>
      <c r="AN40">
        <v>0.5</v>
      </c>
    </row>
    <row r="41" spans="1:40" ht="12.75">
      <c r="A41" t="s">
        <v>127</v>
      </c>
      <c r="B41">
        <v>66</v>
      </c>
      <c r="C41">
        <v>6.8</v>
      </c>
      <c r="D41">
        <v>2.35</v>
      </c>
      <c r="E41">
        <v>-2.27</v>
      </c>
      <c r="F41">
        <f t="shared" si="0"/>
        <v>-2.22</v>
      </c>
      <c r="J41" s="72" t="s">
        <v>384</v>
      </c>
      <c r="K41" s="67">
        <v>-1.62</v>
      </c>
      <c r="L41" s="67">
        <f>0.0027459+0.0002263</f>
        <v>0.0029722</v>
      </c>
      <c r="M41" s="67">
        <v>0.0072537</v>
      </c>
      <c r="N41" s="67">
        <f>K41</f>
        <v>-1.62</v>
      </c>
      <c r="O41" s="67">
        <f t="shared" si="1"/>
        <v>40.97495071480761</v>
      </c>
      <c r="P41" s="67"/>
      <c r="Q41" s="67"/>
      <c r="R41" s="67"/>
      <c r="S41" s="68"/>
      <c r="T41"/>
      <c r="U41" s="26"/>
      <c r="V41" s="31">
        <f t="shared" si="2"/>
        <v>0.03592814371257485</v>
      </c>
      <c r="W41">
        <f>X41-0.9</f>
        <v>15.202670203940981</v>
      </c>
      <c r="X41">
        <f t="shared" si="3"/>
        <v>16.10267020394098</v>
      </c>
      <c r="Y41">
        <v>6.81</v>
      </c>
      <c r="Z41">
        <v>1.4</v>
      </c>
      <c r="AA41">
        <v>2.45</v>
      </c>
      <c r="AB41">
        <v>3.64</v>
      </c>
      <c r="AC41">
        <v>10</v>
      </c>
      <c r="AD41">
        <v>-4.65</v>
      </c>
      <c r="AE41">
        <v>-4.9</v>
      </c>
      <c r="AF41">
        <v>-7.3</v>
      </c>
      <c r="AG41">
        <v>-11.63</v>
      </c>
      <c r="AH41">
        <v>-5.31</v>
      </c>
      <c r="AI41">
        <v>0.72</v>
      </c>
      <c r="AJ41">
        <v>0</v>
      </c>
      <c r="AK41">
        <v>2</v>
      </c>
      <c r="AL41">
        <v>0.5</v>
      </c>
      <c r="AM41">
        <v>3.47</v>
      </c>
      <c r="AN41">
        <v>0.5</v>
      </c>
    </row>
    <row r="42" spans="1:40" ht="12.75">
      <c r="A42" t="s">
        <v>128</v>
      </c>
      <c r="B42">
        <v>66</v>
      </c>
      <c r="C42">
        <v>6.7</v>
      </c>
      <c r="D42">
        <v>2.25</v>
      </c>
      <c r="E42">
        <v>-2.38</v>
      </c>
      <c r="F42">
        <f t="shared" si="0"/>
        <v>-2.33</v>
      </c>
      <c r="J42" s="72" t="s">
        <v>385</v>
      </c>
      <c r="K42" s="67">
        <v>-1.5</v>
      </c>
      <c r="L42" s="67">
        <f>0.0029957+0.0002469</f>
        <v>0.0032426</v>
      </c>
      <c r="M42" s="67">
        <f>0.0083613</f>
        <v>0.0083613</v>
      </c>
      <c r="N42" s="67"/>
      <c r="O42" s="67">
        <f t="shared" si="1"/>
        <v>38.781050793536885</v>
      </c>
      <c r="P42" s="67"/>
      <c r="Q42" s="67"/>
      <c r="R42" s="67"/>
      <c r="S42" s="68"/>
      <c r="T42"/>
      <c r="U42" s="26"/>
      <c r="V42" s="31">
        <f t="shared" si="2"/>
        <v>0.059880239520958084</v>
      </c>
      <c r="W42">
        <f>X42-0.5</f>
        <v>17.970299026592304</v>
      </c>
      <c r="X42">
        <f t="shared" si="3"/>
        <v>18.470299026592304</v>
      </c>
      <c r="Y42">
        <v>8.15</v>
      </c>
      <c r="Z42">
        <v>2.6</v>
      </c>
      <c r="AA42">
        <v>3.19</v>
      </c>
      <c r="AB42">
        <v>4.72</v>
      </c>
      <c r="AC42">
        <v>10</v>
      </c>
      <c r="AD42">
        <v>-2.83</v>
      </c>
      <c r="AE42">
        <v>-3.08</v>
      </c>
      <c r="AF42">
        <v>-5.48</v>
      </c>
      <c r="AG42">
        <v>-7.99</v>
      </c>
      <c r="AH42">
        <v>-5.09</v>
      </c>
      <c r="AI42">
        <v>1.2</v>
      </c>
      <c r="AJ42">
        <v>0</v>
      </c>
      <c r="AK42">
        <v>2</v>
      </c>
      <c r="AL42">
        <v>0.5</v>
      </c>
      <c r="AM42">
        <v>3.47</v>
      </c>
      <c r="AN42">
        <v>0.5</v>
      </c>
    </row>
    <row r="43" spans="1:40" ht="12.75">
      <c r="A43" s="8" t="s">
        <v>279</v>
      </c>
      <c r="B43">
        <v>66</v>
      </c>
      <c r="C43">
        <v>6.53</v>
      </c>
      <c r="D43">
        <v>2.07</v>
      </c>
      <c r="E43">
        <v>-2.55</v>
      </c>
      <c r="F43">
        <f t="shared" si="0"/>
        <v>-2.5</v>
      </c>
      <c r="J43" s="72" t="s">
        <v>386</v>
      </c>
      <c r="K43" s="69">
        <v>-1.3</v>
      </c>
      <c r="L43" s="67">
        <f>0.0035952+0.0002963</f>
        <v>0.0038915</v>
      </c>
      <c r="M43" s="67">
        <f>0.0104949</f>
        <v>0.0104949</v>
      </c>
      <c r="N43" s="67"/>
      <c r="O43" s="67">
        <f t="shared" si="1"/>
        <v>37.079915006336414</v>
      </c>
      <c r="P43" s="67"/>
      <c r="Q43" s="67"/>
      <c r="R43" s="67"/>
      <c r="S43" s="68"/>
      <c r="T43"/>
      <c r="U43" s="26"/>
      <c r="V43" s="31">
        <f t="shared" si="2"/>
        <v>0.08465538059683102</v>
      </c>
      <c r="W43">
        <f>X43</f>
        <v>20.916992213051003</v>
      </c>
      <c r="X43">
        <f t="shared" si="3"/>
        <v>20.916992213051003</v>
      </c>
      <c r="Y43">
        <v>9.35</v>
      </c>
      <c r="Z43">
        <v>3.8</v>
      </c>
      <c r="AA43">
        <v>3.92</v>
      </c>
      <c r="AB43">
        <v>5.85</v>
      </c>
      <c r="AC43">
        <v>10</v>
      </c>
      <c r="AD43">
        <v>-1.42</v>
      </c>
      <c r="AE43">
        <v>-1.68</v>
      </c>
      <c r="AF43">
        <v>-4.08</v>
      </c>
      <c r="AG43">
        <v>-5.18</v>
      </c>
      <c r="AH43">
        <v>-4.96</v>
      </c>
      <c r="AI43">
        <v>1.68</v>
      </c>
      <c r="AJ43">
        <v>0.01</v>
      </c>
      <c r="AK43">
        <v>2</v>
      </c>
      <c r="AL43">
        <v>0.5</v>
      </c>
      <c r="AM43">
        <v>3.47</v>
      </c>
      <c r="AN43">
        <v>0.5</v>
      </c>
    </row>
    <row r="44" spans="1:22" ht="12.75">
      <c r="A44" s="8" t="s">
        <v>280</v>
      </c>
      <c r="B44">
        <v>66</v>
      </c>
      <c r="C44">
        <v>6.45</v>
      </c>
      <c r="D44">
        <v>2</v>
      </c>
      <c r="E44">
        <v>-2.62</v>
      </c>
      <c r="F44">
        <f t="shared" si="0"/>
        <v>-2.5700000000000003</v>
      </c>
      <c r="J44" s="72" t="s">
        <v>387</v>
      </c>
      <c r="K44" s="67">
        <v>-1.09</v>
      </c>
      <c r="L44" s="73">
        <f>0.0044446+0.0003664</f>
        <v>0.004811</v>
      </c>
      <c r="M44" s="67">
        <f>0.0135435</f>
        <v>0.0135435</v>
      </c>
      <c r="N44" s="67">
        <f>K44</f>
        <v>-1.09</v>
      </c>
      <c r="O44" s="67">
        <f t="shared" si="1"/>
        <v>35.522575405175914</v>
      </c>
      <c r="P44" s="67"/>
      <c r="Q44" s="67"/>
      <c r="R44" s="67"/>
      <c r="S44" s="68"/>
      <c r="T44"/>
      <c r="U44" s="26"/>
      <c r="V44" s="31"/>
    </row>
    <row r="45" spans="1:22" ht="12.75">
      <c r="A45" s="8" t="s">
        <v>281</v>
      </c>
      <c r="B45">
        <v>66</v>
      </c>
      <c r="C45">
        <v>6.02</v>
      </c>
      <c r="D45">
        <v>1.57</v>
      </c>
      <c r="E45">
        <v>-3.05</v>
      </c>
      <c r="F45">
        <f t="shared" si="0"/>
        <v>-3</v>
      </c>
      <c r="J45" s="76" t="s">
        <v>388</v>
      </c>
      <c r="K45" s="70">
        <v>-0.9</v>
      </c>
      <c r="L45" s="70">
        <f>0.0052943+0.0004364</f>
        <v>0.0057307</v>
      </c>
      <c r="M45" s="70">
        <f>0.0177835</f>
        <v>0.0177835</v>
      </c>
      <c r="N45" s="70">
        <f>K45</f>
        <v>-0.9</v>
      </c>
      <c r="O45" s="70">
        <f t="shared" si="1"/>
        <v>32.22481513762758</v>
      </c>
      <c r="P45" s="70"/>
      <c r="Q45" s="70"/>
      <c r="R45" s="70"/>
      <c r="S45" s="71"/>
      <c r="T45"/>
      <c r="U45" s="26"/>
      <c r="V45" s="31"/>
    </row>
    <row r="46" spans="1:25" ht="12.75">
      <c r="A46" s="8" t="s">
        <v>278</v>
      </c>
      <c r="B46">
        <v>66</v>
      </c>
      <c r="C46">
        <v>5.95</v>
      </c>
      <c r="D46">
        <v>1.5</v>
      </c>
      <c r="E46">
        <v>-3.12</v>
      </c>
      <c r="F46">
        <f t="shared" si="0"/>
        <v>-3.0700000000000003</v>
      </c>
      <c r="T46"/>
      <c r="U46" s="26"/>
      <c r="V46" s="31"/>
      <c r="X46">
        <f aca="true" t="shared" si="4" ref="X46:X55">-0.002908389*V46^4+0.098890361*V46^3-1.916707014*V46^2+99.031446317*V46+12.547123733</f>
        <v>12.547123733</v>
      </c>
      <c r="Y46" t="s">
        <v>356</v>
      </c>
    </row>
    <row r="47" spans="8:40" ht="12.75">
      <c r="T47"/>
      <c r="U47" s="26"/>
      <c r="V47" s="31"/>
      <c r="W47">
        <f>W38</f>
        <v>11</v>
      </c>
      <c r="X47">
        <f t="shared" si="4"/>
        <v>12.547123733</v>
      </c>
      <c r="Y47" t="s">
        <v>339</v>
      </c>
      <c r="Z47" t="s">
        <v>340</v>
      </c>
      <c r="AA47" t="s">
        <v>341</v>
      </c>
      <c r="AB47" t="s">
        <v>342</v>
      </c>
      <c r="AC47" t="s">
        <v>343</v>
      </c>
      <c r="AD47" t="s">
        <v>344</v>
      </c>
      <c r="AE47" t="s">
        <v>345</v>
      </c>
      <c r="AF47" t="s">
        <v>346</v>
      </c>
      <c r="AG47" t="s">
        <v>347</v>
      </c>
      <c r="AH47" t="s">
        <v>348</v>
      </c>
      <c r="AI47" t="s">
        <v>349</v>
      </c>
      <c r="AJ47" t="s">
        <v>350</v>
      </c>
      <c r="AK47" t="s">
        <v>351</v>
      </c>
      <c r="AL47" t="s">
        <v>352</v>
      </c>
      <c r="AM47" t="s">
        <v>353</v>
      </c>
      <c r="AN47" t="s">
        <v>354</v>
      </c>
    </row>
    <row r="48" spans="8:40" ht="12.75">
      <c r="T48"/>
      <c r="U48" s="26"/>
      <c r="V48" s="31"/>
      <c r="W48">
        <f>W38</f>
        <v>11</v>
      </c>
      <c r="X48">
        <f t="shared" si="4"/>
        <v>12.547123733</v>
      </c>
      <c r="Y48">
        <v>4.99</v>
      </c>
      <c r="Z48">
        <v>-0.4</v>
      </c>
      <c r="AA48">
        <v>3.36</v>
      </c>
      <c r="AB48">
        <v>3</v>
      </c>
      <c r="AC48">
        <v>10</v>
      </c>
      <c r="AD48">
        <v>-100</v>
      </c>
      <c r="AE48">
        <v>-100</v>
      </c>
      <c r="AF48">
        <v>-100</v>
      </c>
      <c r="AG48">
        <v>-100</v>
      </c>
      <c r="AH48">
        <v>-100</v>
      </c>
      <c r="AI48">
        <v>0</v>
      </c>
      <c r="AJ48">
        <v>0</v>
      </c>
      <c r="AK48">
        <v>2</v>
      </c>
      <c r="AL48">
        <v>0.5</v>
      </c>
      <c r="AM48">
        <v>3.47</v>
      </c>
      <c r="AN48">
        <v>0.5</v>
      </c>
    </row>
    <row r="49" spans="1:40" ht="12.75">
      <c r="A49" s="8" t="s">
        <v>159</v>
      </c>
      <c r="B49">
        <v>138</v>
      </c>
      <c r="C49">
        <v>8.4</v>
      </c>
      <c r="D49" s="8">
        <v>3.59</v>
      </c>
      <c r="E49">
        <v>0.05</v>
      </c>
      <c r="F49">
        <f t="shared" si="0"/>
        <v>0.1</v>
      </c>
      <c r="T49"/>
      <c r="U49" s="26"/>
      <c r="V49" s="31">
        <f aca="true" t="shared" si="5" ref="V49:V55">(AI49/40.08+AJ49/24.3)*2</f>
        <v>0.023952095808383235</v>
      </c>
      <c r="W49">
        <f>W40</f>
        <v>13.818036160800839</v>
      </c>
      <c r="X49">
        <f t="shared" si="4"/>
        <v>14.918036160800838</v>
      </c>
      <c r="Y49">
        <v>5.98</v>
      </c>
      <c r="Z49">
        <v>0.8</v>
      </c>
      <c r="AA49">
        <v>4.1</v>
      </c>
      <c r="AB49">
        <v>3.03</v>
      </c>
      <c r="AC49">
        <v>10</v>
      </c>
      <c r="AD49">
        <v>-5.88</v>
      </c>
      <c r="AE49">
        <v>-6.13</v>
      </c>
      <c r="AF49">
        <v>-8.53</v>
      </c>
      <c r="AG49">
        <v>-100</v>
      </c>
      <c r="AH49">
        <v>-5.48</v>
      </c>
      <c r="AI49">
        <v>0.48</v>
      </c>
      <c r="AJ49">
        <v>0</v>
      </c>
      <c r="AK49">
        <v>2</v>
      </c>
      <c r="AL49">
        <v>0.5</v>
      </c>
      <c r="AM49">
        <v>3.47</v>
      </c>
      <c r="AN49">
        <v>0.5</v>
      </c>
    </row>
    <row r="50" spans="1:22" ht="12.75">
      <c r="A50" s="75" t="s">
        <v>377</v>
      </c>
      <c r="B50">
        <v>138</v>
      </c>
      <c r="C50">
        <v>8.31</v>
      </c>
      <c r="D50" s="8">
        <v>3.49</v>
      </c>
      <c r="E50">
        <v>-0.05</v>
      </c>
      <c r="F50">
        <f t="shared" si="0"/>
        <v>0</v>
      </c>
      <c r="T50"/>
      <c r="U50" s="26"/>
      <c r="V50" s="31"/>
    </row>
    <row r="51" spans="1:40" ht="12.75">
      <c r="A51" s="8" t="s">
        <v>158</v>
      </c>
      <c r="B51">
        <v>138</v>
      </c>
      <c r="C51">
        <v>8.3</v>
      </c>
      <c r="D51" s="8">
        <v>3.48</v>
      </c>
      <c r="E51">
        <v>-0.06</v>
      </c>
      <c r="F51">
        <f t="shared" si="0"/>
        <v>-0.009999999999999995</v>
      </c>
      <c r="T51"/>
      <c r="U51" s="26"/>
      <c r="V51" s="31">
        <f t="shared" si="5"/>
        <v>0.04790419161676647</v>
      </c>
      <c r="W51">
        <f>X51-0.6</f>
        <v>16.68675748782399</v>
      </c>
      <c r="X51">
        <f t="shared" si="4"/>
        <v>17.28675748782399</v>
      </c>
      <c r="Y51">
        <v>6.05</v>
      </c>
      <c r="Z51">
        <v>1.1</v>
      </c>
      <c r="AA51">
        <v>4.83</v>
      </c>
      <c r="AB51">
        <v>2.98</v>
      </c>
      <c r="AC51">
        <v>10</v>
      </c>
      <c r="AD51">
        <v>-5.38</v>
      </c>
      <c r="AE51">
        <v>-5.64</v>
      </c>
      <c r="AF51">
        <v>-8.04</v>
      </c>
      <c r="AG51">
        <v>-13.09</v>
      </c>
      <c r="AH51">
        <v>-5.19</v>
      </c>
      <c r="AI51">
        <v>0.96</v>
      </c>
      <c r="AJ51">
        <v>0</v>
      </c>
      <c r="AK51">
        <v>2</v>
      </c>
      <c r="AL51">
        <v>0.5</v>
      </c>
      <c r="AM51">
        <v>3.47</v>
      </c>
      <c r="AN51">
        <v>0.5</v>
      </c>
    </row>
    <row r="52" spans="1:40" ht="12.75">
      <c r="A52" s="8" t="s">
        <v>157</v>
      </c>
      <c r="B52">
        <v>138</v>
      </c>
      <c r="C52">
        <v>8.2</v>
      </c>
      <c r="D52" s="8">
        <v>3.38</v>
      </c>
      <c r="E52">
        <v>-0.15</v>
      </c>
      <c r="F52">
        <f t="shared" si="0"/>
        <v>-0.09999999999999999</v>
      </c>
      <c r="T52"/>
      <c r="U52" s="26"/>
      <c r="V52" s="31">
        <f t="shared" si="5"/>
        <v>0.0718562874251497</v>
      </c>
      <c r="W52">
        <f>X52-0.3</f>
        <v>19.353295832952487</v>
      </c>
      <c r="X52">
        <f t="shared" si="4"/>
        <v>19.653295832952487</v>
      </c>
      <c r="Y52">
        <v>6.83</v>
      </c>
      <c r="Z52">
        <v>3.2</v>
      </c>
      <c r="AA52">
        <v>5.57</v>
      </c>
      <c r="AB52">
        <v>3.29</v>
      </c>
      <c r="AC52">
        <v>10</v>
      </c>
      <c r="AD52">
        <v>-3.97</v>
      </c>
      <c r="AE52">
        <v>-4.23</v>
      </c>
      <c r="AF52">
        <v>-6.63</v>
      </c>
      <c r="AG52">
        <v>-10.29</v>
      </c>
      <c r="AH52">
        <v>-5.02</v>
      </c>
      <c r="AI52">
        <v>1.44</v>
      </c>
      <c r="AJ52">
        <v>0</v>
      </c>
      <c r="AK52">
        <v>2</v>
      </c>
      <c r="AL52">
        <v>0.5</v>
      </c>
      <c r="AM52">
        <v>3.47</v>
      </c>
      <c r="AN52">
        <v>0.5</v>
      </c>
    </row>
    <row r="53" spans="1:40" ht="12.75">
      <c r="A53" s="8" t="s">
        <v>156</v>
      </c>
      <c r="B53">
        <v>138</v>
      </c>
      <c r="C53">
        <v>8.1</v>
      </c>
      <c r="D53" s="8">
        <v>3.27</v>
      </c>
      <c r="E53">
        <v>-0.25</v>
      </c>
      <c r="F53">
        <f t="shared" si="0"/>
        <v>-0.2</v>
      </c>
      <c r="T53"/>
      <c r="U53" s="26"/>
      <c r="V53" s="31">
        <f t="shared" si="5"/>
        <v>0.09663142850102265</v>
      </c>
      <c r="W53">
        <f>X53</f>
        <v>22.098865326576124</v>
      </c>
      <c r="X53">
        <f t="shared" si="4"/>
        <v>22.098865326576124</v>
      </c>
      <c r="Y53">
        <v>7.22</v>
      </c>
      <c r="Z53">
        <v>4.4</v>
      </c>
      <c r="AA53">
        <v>6.3</v>
      </c>
      <c r="AB53">
        <v>3.54</v>
      </c>
      <c r="AC53">
        <v>10</v>
      </c>
      <c r="AD53">
        <v>-3.33</v>
      </c>
      <c r="AE53">
        <v>-3.59</v>
      </c>
      <c r="AF53">
        <v>-5.99</v>
      </c>
      <c r="AG53">
        <v>-8.99</v>
      </c>
      <c r="AH53">
        <v>-4.9</v>
      </c>
      <c r="AI53">
        <v>1.92</v>
      </c>
      <c r="AJ53">
        <v>0.01</v>
      </c>
      <c r="AK53">
        <v>2</v>
      </c>
      <c r="AL53">
        <v>0.5</v>
      </c>
      <c r="AM53">
        <v>3.47</v>
      </c>
      <c r="AN53">
        <v>0.5</v>
      </c>
    </row>
    <row r="54" spans="1:40" ht="12.75">
      <c r="A54" s="8" t="s">
        <v>155</v>
      </c>
      <c r="B54">
        <v>138</v>
      </c>
      <c r="C54">
        <v>8</v>
      </c>
      <c r="D54" s="8">
        <v>3.18</v>
      </c>
      <c r="E54">
        <v>-0.35</v>
      </c>
      <c r="F54">
        <f t="shared" si="0"/>
        <v>-0.3</v>
      </c>
      <c r="T54"/>
      <c r="U54" s="26"/>
      <c r="V54" s="31">
        <f t="shared" si="5"/>
        <v>0.12058352430940587</v>
      </c>
      <c r="W54">
        <f>X54</f>
        <v>24.460987659525834</v>
      </c>
      <c r="X54">
        <f t="shared" si="4"/>
        <v>24.460987659525834</v>
      </c>
      <c r="Y54">
        <v>7.93</v>
      </c>
      <c r="Z54">
        <v>5.6</v>
      </c>
      <c r="AA54">
        <v>7.04</v>
      </c>
      <c r="AB54">
        <v>4.15</v>
      </c>
      <c r="AC54">
        <v>10</v>
      </c>
      <c r="AD54">
        <v>-2.42</v>
      </c>
      <c r="AE54">
        <v>-2.68</v>
      </c>
      <c r="AF54">
        <v>-5.08</v>
      </c>
      <c r="AG54">
        <v>-7.18</v>
      </c>
      <c r="AH54">
        <v>-4.81</v>
      </c>
      <c r="AI54">
        <v>2.4</v>
      </c>
      <c r="AJ54">
        <v>0.01</v>
      </c>
      <c r="AK54">
        <v>2</v>
      </c>
      <c r="AL54">
        <v>0.5</v>
      </c>
      <c r="AM54">
        <v>3.47</v>
      </c>
      <c r="AN54">
        <v>0.5</v>
      </c>
    </row>
    <row r="55" spans="1:40" ht="12.75">
      <c r="A55" s="8" t="s">
        <v>154</v>
      </c>
      <c r="B55">
        <v>138</v>
      </c>
      <c r="C55">
        <v>7.9</v>
      </c>
      <c r="D55" s="8">
        <v>3.07</v>
      </c>
      <c r="E55">
        <v>-0.45</v>
      </c>
      <c r="F55">
        <f t="shared" si="0"/>
        <v>-0.4</v>
      </c>
      <c r="T55"/>
      <c r="U55" s="26"/>
      <c r="V55" s="31">
        <f t="shared" si="5"/>
        <v>0.1450346221137971</v>
      </c>
      <c r="W55">
        <f>X55</f>
        <v>26.870094523922567</v>
      </c>
      <c r="X55">
        <f t="shared" si="4"/>
        <v>26.870094523922567</v>
      </c>
      <c r="Y55">
        <v>9.08</v>
      </c>
      <c r="Z55">
        <v>6.8</v>
      </c>
      <c r="AA55">
        <v>7.77</v>
      </c>
      <c r="AB55">
        <v>5.27</v>
      </c>
      <c r="AC55">
        <v>10</v>
      </c>
      <c r="AD55">
        <v>-1.15</v>
      </c>
      <c r="AE55">
        <v>-1.41</v>
      </c>
      <c r="AF55">
        <v>-3.81</v>
      </c>
      <c r="AG55">
        <v>-4.64</v>
      </c>
      <c r="AH55">
        <v>-4.73</v>
      </c>
      <c r="AI55">
        <v>2.89</v>
      </c>
      <c r="AJ55">
        <v>0.01</v>
      </c>
      <c r="AK55">
        <v>2</v>
      </c>
      <c r="AL55">
        <v>0.5</v>
      </c>
      <c r="AM55">
        <v>3.47</v>
      </c>
      <c r="AN55">
        <v>0.5</v>
      </c>
    </row>
    <row r="56" spans="1:21" ht="12.75">
      <c r="A56" s="8" t="s">
        <v>153</v>
      </c>
      <c r="B56">
        <v>138</v>
      </c>
      <c r="C56">
        <v>7.8</v>
      </c>
      <c r="D56" s="8">
        <v>2.97</v>
      </c>
      <c r="E56">
        <v>-0.55</v>
      </c>
      <c r="F56">
        <f t="shared" si="0"/>
        <v>-0.5</v>
      </c>
      <c r="T56"/>
      <c r="U56" s="26"/>
    </row>
    <row r="57" spans="1:25" ht="12.75">
      <c r="A57" t="s">
        <v>148</v>
      </c>
      <c r="B57">
        <v>138</v>
      </c>
      <c r="C57">
        <v>7.7</v>
      </c>
      <c r="D57">
        <v>2.87</v>
      </c>
      <c r="E57">
        <v>-0.65</v>
      </c>
      <c r="F57">
        <f t="shared" si="0"/>
        <v>-0.6</v>
      </c>
      <c r="T57"/>
      <c r="U57" s="26"/>
      <c r="V57" s="31"/>
      <c r="X57" t="s">
        <v>364</v>
      </c>
      <c r="Y57" t="s">
        <v>357</v>
      </c>
    </row>
    <row r="58" spans="1:40" ht="12.75">
      <c r="A58" t="s">
        <v>149</v>
      </c>
      <c r="B58">
        <v>138</v>
      </c>
      <c r="C58">
        <v>7.6</v>
      </c>
      <c r="D58" s="8">
        <v>2.78</v>
      </c>
      <c r="E58">
        <v>-0.75</v>
      </c>
      <c r="F58">
        <f t="shared" si="0"/>
        <v>-0.7</v>
      </c>
      <c r="T58"/>
      <c r="U58" s="26"/>
      <c r="V58" s="31"/>
      <c r="X58" t="s">
        <v>22</v>
      </c>
      <c r="Y58" t="s">
        <v>339</v>
      </c>
      <c r="Z58" t="s">
        <v>340</v>
      </c>
      <c r="AA58" t="s">
        <v>341</v>
      </c>
      <c r="AB58" t="s">
        <v>342</v>
      </c>
      <c r="AC58" t="s">
        <v>343</v>
      </c>
      <c r="AD58" t="s">
        <v>344</v>
      </c>
      <c r="AE58" t="s">
        <v>345</v>
      </c>
      <c r="AF58" t="s">
        <v>346</v>
      </c>
      <c r="AG58" t="s">
        <v>347</v>
      </c>
      <c r="AH58" t="s">
        <v>348</v>
      </c>
      <c r="AI58" t="s">
        <v>349</v>
      </c>
      <c r="AJ58" t="s">
        <v>350</v>
      </c>
      <c r="AK58" t="s">
        <v>351</v>
      </c>
      <c r="AL58" t="s">
        <v>352</v>
      </c>
      <c r="AM58" t="s">
        <v>353</v>
      </c>
      <c r="AN58" t="s">
        <v>354</v>
      </c>
    </row>
    <row r="59" spans="1:40" ht="12.75">
      <c r="A59" t="s">
        <v>150</v>
      </c>
      <c r="B59">
        <v>138</v>
      </c>
      <c r="C59">
        <v>7.5</v>
      </c>
      <c r="D59" s="8">
        <v>2.68</v>
      </c>
      <c r="E59">
        <v>-0.86</v>
      </c>
      <c r="F59">
        <f t="shared" si="0"/>
        <v>-0.8099999999999999</v>
      </c>
      <c r="T59"/>
      <c r="U59" s="26"/>
      <c r="V59" s="31">
        <f aca="true" t="shared" si="6" ref="V59:V67">(AI59/40.08+AJ59/24.3)*2</f>
        <v>0</v>
      </c>
      <c r="W59">
        <f>W48</f>
        <v>11</v>
      </c>
      <c r="X59">
        <f aca="true" t="shared" si="7" ref="X59:X67">-0.002908389*V59^4+0.098890361*V59^3-1.916707014*V59^2+99.031446317*V59+12.547123733</f>
        <v>12.547123733</v>
      </c>
      <c r="Y59">
        <v>4.89</v>
      </c>
      <c r="Z59">
        <v>-0.4</v>
      </c>
      <c r="AA59">
        <v>10.62</v>
      </c>
      <c r="AB59">
        <v>2.5</v>
      </c>
      <c r="AC59">
        <v>10</v>
      </c>
      <c r="AD59">
        <v>-100</v>
      </c>
      <c r="AE59">
        <v>-100</v>
      </c>
      <c r="AF59">
        <v>-100</v>
      </c>
      <c r="AG59">
        <v>-100</v>
      </c>
      <c r="AH59">
        <v>-100</v>
      </c>
      <c r="AI59">
        <v>0</v>
      </c>
      <c r="AJ59">
        <v>0</v>
      </c>
      <c r="AK59">
        <v>2</v>
      </c>
      <c r="AL59">
        <v>0.5</v>
      </c>
      <c r="AM59">
        <v>3.47</v>
      </c>
      <c r="AN59">
        <v>0.5</v>
      </c>
    </row>
    <row r="60" spans="1:40" ht="12.75">
      <c r="A60" t="s">
        <v>151</v>
      </c>
      <c r="B60">
        <v>138</v>
      </c>
      <c r="C60">
        <v>7.4</v>
      </c>
      <c r="D60" s="8">
        <v>2.59</v>
      </c>
      <c r="E60">
        <v>-0.97</v>
      </c>
      <c r="F60">
        <f t="shared" si="0"/>
        <v>-0.9199999999999999</v>
      </c>
      <c r="T60"/>
      <c r="U60" s="26"/>
      <c r="V60" s="31">
        <f t="shared" si="6"/>
        <v>0.059880239520958084</v>
      </c>
      <c r="W60">
        <f>W42</f>
        <v>17.970299026592304</v>
      </c>
      <c r="X60">
        <f t="shared" si="7"/>
        <v>18.470299026592304</v>
      </c>
      <c r="Y60">
        <v>6</v>
      </c>
      <c r="Z60">
        <v>2.6</v>
      </c>
      <c r="AA60">
        <v>12.46</v>
      </c>
      <c r="AB60">
        <v>2.55</v>
      </c>
      <c r="AC60">
        <v>10</v>
      </c>
      <c r="AD60">
        <v>-4.96</v>
      </c>
      <c r="AE60">
        <v>-5.22</v>
      </c>
      <c r="AF60">
        <v>-7.62</v>
      </c>
      <c r="AG60">
        <v>-12.27</v>
      </c>
      <c r="AH60">
        <v>-5.09</v>
      </c>
      <c r="AI60">
        <v>1.2</v>
      </c>
      <c r="AJ60">
        <v>0</v>
      </c>
      <c r="AK60">
        <v>2</v>
      </c>
      <c r="AL60">
        <v>0.5</v>
      </c>
      <c r="AM60">
        <v>3.47</v>
      </c>
      <c r="AN60">
        <v>0.5</v>
      </c>
    </row>
    <row r="61" spans="1:40" ht="12.75">
      <c r="A61" t="s">
        <v>152</v>
      </c>
      <c r="B61">
        <v>138</v>
      </c>
      <c r="C61">
        <v>7.3</v>
      </c>
      <c r="D61" s="8">
        <v>2.5</v>
      </c>
      <c r="E61">
        <v>-1.08</v>
      </c>
      <c r="F61">
        <f t="shared" si="0"/>
        <v>-1.03</v>
      </c>
      <c r="T61"/>
      <c r="U61" s="26"/>
      <c r="V61" s="31">
        <f t="shared" si="6"/>
        <v>0.09663142850102265</v>
      </c>
      <c r="W61">
        <f>X61</f>
        <v>22.098865326576124</v>
      </c>
      <c r="X61">
        <f t="shared" si="7"/>
        <v>22.098865326576124</v>
      </c>
      <c r="Y61">
        <v>6.28</v>
      </c>
      <c r="Z61">
        <v>4.4</v>
      </c>
      <c r="AA61">
        <v>13.56</v>
      </c>
      <c r="AB61">
        <v>2.6</v>
      </c>
      <c r="AC61">
        <v>10</v>
      </c>
      <c r="AD61">
        <v>-4.26</v>
      </c>
      <c r="AE61">
        <v>-4.52</v>
      </c>
      <c r="AF61">
        <v>-6.92</v>
      </c>
      <c r="AG61">
        <v>-10.87</v>
      </c>
      <c r="AH61">
        <v>-4.9</v>
      </c>
      <c r="AI61">
        <v>1.92</v>
      </c>
      <c r="AJ61">
        <v>0.01</v>
      </c>
      <c r="AK61">
        <v>2</v>
      </c>
      <c r="AL61">
        <v>0.5</v>
      </c>
      <c r="AM61">
        <v>3.47</v>
      </c>
      <c r="AN61">
        <v>0.5</v>
      </c>
    </row>
    <row r="62" spans="1:40" ht="12.75">
      <c r="A62" s="8" t="s">
        <v>199</v>
      </c>
      <c r="B62">
        <v>138</v>
      </c>
      <c r="C62">
        <v>6.78</v>
      </c>
      <c r="D62" s="8">
        <v>2</v>
      </c>
      <c r="E62">
        <v>-1.58</v>
      </c>
      <c r="F62">
        <f t="shared" si="0"/>
        <v>-1.53</v>
      </c>
      <c r="T62"/>
      <c r="U62" s="26"/>
      <c r="V62" s="31">
        <f t="shared" si="6"/>
        <v>0.12058352430940587</v>
      </c>
      <c r="W62">
        <f aca="true" t="shared" si="8" ref="W62:W68">X62</f>
        <v>24.460987659525834</v>
      </c>
      <c r="X62">
        <f t="shared" si="7"/>
        <v>24.460987659525834</v>
      </c>
      <c r="Y62">
        <v>6.42</v>
      </c>
      <c r="Z62">
        <v>5.6</v>
      </c>
      <c r="AA62">
        <v>14.3</v>
      </c>
      <c r="AB62">
        <v>2.64</v>
      </c>
      <c r="AC62">
        <v>10</v>
      </c>
      <c r="AD62">
        <v>-3.92</v>
      </c>
      <c r="AE62">
        <v>-4.18</v>
      </c>
      <c r="AF62">
        <v>-6.58</v>
      </c>
      <c r="AG62">
        <v>-10.18</v>
      </c>
      <c r="AH62">
        <v>-4.81</v>
      </c>
      <c r="AI62">
        <v>2.4</v>
      </c>
      <c r="AJ62">
        <v>0.01</v>
      </c>
      <c r="AK62">
        <v>2</v>
      </c>
      <c r="AL62">
        <v>0.5</v>
      </c>
      <c r="AM62">
        <v>3.47</v>
      </c>
      <c r="AN62">
        <v>0.5</v>
      </c>
    </row>
    <row r="63" spans="1:40" ht="12.75">
      <c r="A63" s="8" t="s">
        <v>225</v>
      </c>
      <c r="B63">
        <v>138</v>
      </c>
      <c r="C63">
        <v>6.33</v>
      </c>
      <c r="D63" s="8">
        <v>1.53</v>
      </c>
      <c r="E63">
        <v>-2.05</v>
      </c>
      <c r="F63">
        <f t="shared" si="0"/>
        <v>-1.9999999999999998</v>
      </c>
      <c r="T63"/>
      <c r="U63" s="26"/>
      <c r="V63" s="31">
        <f t="shared" si="6"/>
        <v>0.1570106700179887</v>
      </c>
      <c r="W63">
        <f t="shared" si="8"/>
        <v>28.049247144576206</v>
      </c>
      <c r="X63">
        <f t="shared" si="7"/>
        <v>28.049247144576206</v>
      </c>
      <c r="Y63">
        <v>6.61</v>
      </c>
      <c r="Z63">
        <v>7.4</v>
      </c>
      <c r="AA63">
        <v>15.4</v>
      </c>
      <c r="AB63">
        <v>2.71</v>
      </c>
      <c r="AC63">
        <v>10</v>
      </c>
      <c r="AD63">
        <v>-3.5</v>
      </c>
      <c r="AE63">
        <v>-3.76</v>
      </c>
      <c r="AF63">
        <v>-6.16</v>
      </c>
      <c r="AG63">
        <v>-9.34</v>
      </c>
      <c r="AH63">
        <v>-4.7</v>
      </c>
      <c r="AI63">
        <v>3.13</v>
      </c>
      <c r="AJ63">
        <v>0.01</v>
      </c>
      <c r="AK63">
        <v>2</v>
      </c>
      <c r="AL63">
        <v>0.5</v>
      </c>
      <c r="AM63">
        <v>3.47</v>
      </c>
      <c r="AN63">
        <v>0.5</v>
      </c>
    </row>
    <row r="64" spans="1:40" ht="12.75">
      <c r="A64" s="8" t="s">
        <v>283</v>
      </c>
      <c r="B64">
        <v>138</v>
      </c>
      <c r="C64">
        <v>6.3</v>
      </c>
      <c r="D64" s="8">
        <v>1.5</v>
      </c>
      <c r="E64">
        <v>-2.08</v>
      </c>
      <c r="F64">
        <f t="shared" si="0"/>
        <v>-2.0300000000000002</v>
      </c>
      <c r="T64"/>
      <c r="U64" s="26"/>
      <c r="V64" s="31">
        <f t="shared" si="6"/>
        <v>0.2049148616347552</v>
      </c>
      <c r="W64">
        <f t="shared" si="8"/>
        <v>32.760501896165636</v>
      </c>
      <c r="X64">
        <f t="shared" si="7"/>
        <v>32.760501896165636</v>
      </c>
      <c r="Y64">
        <v>6.85</v>
      </c>
      <c r="Z64">
        <v>9.8</v>
      </c>
      <c r="AA64">
        <v>16.88</v>
      </c>
      <c r="AB64">
        <v>2.83</v>
      </c>
      <c r="AC64">
        <v>10</v>
      </c>
      <c r="AD64">
        <v>-3.03</v>
      </c>
      <c r="AE64">
        <v>-3.29</v>
      </c>
      <c r="AF64">
        <v>-5.69</v>
      </c>
      <c r="AG64">
        <v>-8.41</v>
      </c>
      <c r="AH64">
        <v>-4.59</v>
      </c>
      <c r="AI64">
        <v>4.09</v>
      </c>
      <c r="AJ64">
        <v>0.01</v>
      </c>
      <c r="AK64">
        <v>2</v>
      </c>
      <c r="AL64">
        <v>0.5</v>
      </c>
      <c r="AM64">
        <v>3.47</v>
      </c>
      <c r="AN64">
        <v>0.5</v>
      </c>
    </row>
    <row r="65" spans="1:40" ht="12.75">
      <c r="A65" s="8" t="s">
        <v>284</v>
      </c>
      <c r="B65">
        <v>138</v>
      </c>
      <c r="C65">
        <v>5.79</v>
      </c>
      <c r="D65" s="8">
        <v>1</v>
      </c>
      <c r="E65">
        <v>-2.58</v>
      </c>
      <c r="F65">
        <f t="shared" si="0"/>
        <v>-2.5300000000000002</v>
      </c>
      <c r="T65"/>
      <c r="U65" s="26"/>
      <c r="V65" s="31">
        <f t="shared" si="6"/>
        <v>0.2775941943273946</v>
      </c>
      <c r="W65">
        <f t="shared" si="8"/>
        <v>39.89207774250105</v>
      </c>
      <c r="X65">
        <f t="shared" si="7"/>
        <v>39.89207774250105</v>
      </c>
      <c r="Y65">
        <v>7.24</v>
      </c>
      <c r="Z65">
        <v>13.5</v>
      </c>
      <c r="AA65">
        <v>19.08</v>
      </c>
      <c r="AB65">
        <v>3.09</v>
      </c>
      <c r="AC65">
        <v>10</v>
      </c>
      <c r="AD65">
        <v>-2.38</v>
      </c>
      <c r="AE65">
        <v>-2.64</v>
      </c>
      <c r="AF65">
        <v>-5.04</v>
      </c>
      <c r="AG65">
        <v>-7.1</v>
      </c>
      <c r="AH65">
        <v>-4.47</v>
      </c>
      <c r="AI65">
        <v>5.53</v>
      </c>
      <c r="AJ65">
        <v>0.02</v>
      </c>
      <c r="AK65">
        <v>2</v>
      </c>
      <c r="AL65">
        <v>0.5</v>
      </c>
      <c r="AM65">
        <v>3.47</v>
      </c>
      <c r="AN65">
        <v>0.5</v>
      </c>
    </row>
    <row r="66" spans="4:40" ht="12.75">
      <c r="D66" s="8"/>
      <c r="T66"/>
      <c r="U66" s="26"/>
      <c r="V66" s="31">
        <f t="shared" si="6"/>
        <v>0.33747443384835274</v>
      </c>
      <c r="W66">
        <f t="shared" si="8"/>
        <v>45.75317626930541</v>
      </c>
      <c r="X66">
        <f t="shared" si="7"/>
        <v>45.75317626930541</v>
      </c>
      <c r="Y66">
        <v>7.8</v>
      </c>
      <c r="Z66">
        <v>16.5</v>
      </c>
      <c r="AA66">
        <v>20.92</v>
      </c>
      <c r="AB66">
        <v>3.56</v>
      </c>
      <c r="AC66">
        <v>10</v>
      </c>
      <c r="AD66">
        <v>-1.65</v>
      </c>
      <c r="AE66">
        <v>-1.91</v>
      </c>
      <c r="AF66">
        <v>-4.31</v>
      </c>
      <c r="AG66">
        <v>-5.64</v>
      </c>
      <c r="AH66">
        <v>-4.4</v>
      </c>
      <c r="AI66">
        <v>6.73</v>
      </c>
      <c r="AJ66">
        <v>0.02</v>
      </c>
      <c r="AK66">
        <v>2</v>
      </c>
      <c r="AL66">
        <v>0.5</v>
      </c>
      <c r="AM66">
        <v>3.47</v>
      </c>
      <c r="AN66">
        <v>0.5</v>
      </c>
    </row>
    <row r="67" spans="1:40" ht="12.75">
      <c r="A67" s="8" t="s">
        <v>222</v>
      </c>
      <c r="B67">
        <v>199</v>
      </c>
      <c r="C67">
        <v>8.5</v>
      </c>
      <c r="D67">
        <v>3.51</v>
      </c>
      <c r="E67">
        <v>0.46</v>
      </c>
      <c r="F67">
        <f t="shared" si="0"/>
        <v>0.51</v>
      </c>
      <c r="T67"/>
      <c r="U67" s="26"/>
      <c r="V67" s="31">
        <f t="shared" si="6"/>
        <v>0.3978536753653188</v>
      </c>
      <c r="W67">
        <f t="shared" si="8"/>
        <v>51.649912554265505</v>
      </c>
      <c r="X67">
        <f t="shared" si="7"/>
        <v>51.649912554265505</v>
      </c>
      <c r="Y67">
        <v>8.99</v>
      </c>
      <c r="Z67">
        <v>19.5</v>
      </c>
      <c r="AA67">
        <v>22.76</v>
      </c>
      <c r="AB67">
        <v>4.71</v>
      </c>
      <c r="AC67">
        <v>10</v>
      </c>
      <c r="AD67">
        <v>-0.36</v>
      </c>
      <c r="AE67">
        <v>-0.62</v>
      </c>
      <c r="AF67">
        <v>-3.02</v>
      </c>
      <c r="AG67">
        <v>-3.06</v>
      </c>
      <c r="AH67">
        <v>-4.34</v>
      </c>
      <c r="AI67">
        <v>7.94</v>
      </c>
      <c r="AJ67">
        <v>0.02</v>
      </c>
      <c r="AK67">
        <v>2</v>
      </c>
      <c r="AL67">
        <v>0.5</v>
      </c>
      <c r="AM67">
        <v>3.47</v>
      </c>
      <c r="AN67">
        <v>0.5</v>
      </c>
    </row>
    <row r="68" spans="1:40" ht="12.75">
      <c r="A68" s="8" t="s">
        <v>175</v>
      </c>
      <c r="B68">
        <v>199</v>
      </c>
      <c r="C68">
        <v>8.4</v>
      </c>
      <c r="D68">
        <v>3.41</v>
      </c>
      <c r="E68">
        <v>0.36</v>
      </c>
      <c r="F68">
        <f t="shared" si="0"/>
        <v>0.41</v>
      </c>
      <c r="T68"/>
      <c r="U68" s="26"/>
      <c r="V68" s="28">
        <f>(AI68/40.08+AJ68/24.3)*2</f>
        <v>0.4321098543653434</v>
      </c>
      <c r="W68" s="61">
        <f t="shared" si="8"/>
        <v>54.989579484809234</v>
      </c>
      <c r="X68" s="61">
        <f>-0.002908389*V68^4+0.098890361*V68^3-1.916707014*V68^2+99.031446317*V68+12.547123733</f>
        <v>54.989579484809234</v>
      </c>
      <c r="Y68" s="61">
        <v>9.27</v>
      </c>
      <c r="Z68" s="61">
        <v>21.2</v>
      </c>
      <c r="AA68" s="61">
        <v>23.79</v>
      </c>
      <c r="AB68" s="61">
        <v>4.99</v>
      </c>
      <c r="AC68" s="61">
        <v>10</v>
      </c>
      <c r="AD68" s="61">
        <v>-0.05</v>
      </c>
      <c r="AE68" s="61">
        <v>-0.31</v>
      </c>
      <c r="AF68" s="61"/>
      <c r="AG68" s="61"/>
      <c r="AH68" s="61"/>
      <c r="AI68" s="61">
        <v>8.61</v>
      </c>
      <c r="AJ68" s="61">
        <v>0.03</v>
      </c>
      <c r="AK68" s="61">
        <v>2</v>
      </c>
      <c r="AL68" s="61">
        <v>0.5</v>
      </c>
      <c r="AM68" s="61">
        <v>3.47</v>
      </c>
      <c r="AN68" s="61">
        <v>0.5</v>
      </c>
    </row>
    <row r="69" spans="1:21" ht="12.75">
      <c r="A69" s="8" t="s">
        <v>221</v>
      </c>
      <c r="B69">
        <v>199</v>
      </c>
      <c r="C69">
        <v>8.3</v>
      </c>
      <c r="D69">
        <v>3.31</v>
      </c>
      <c r="E69">
        <v>0.27</v>
      </c>
      <c r="F69">
        <f t="shared" si="0"/>
        <v>0.32</v>
      </c>
      <c r="T69"/>
      <c r="U69" s="26"/>
    </row>
    <row r="70" spans="1:21" ht="12.75">
      <c r="A70" s="8" t="s">
        <v>178</v>
      </c>
      <c r="B70">
        <v>199</v>
      </c>
      <c r="C70">
        <v>8.2</v>
      </c>
      <c r="D70">
        <v>3.21</v>
      </c>
      <c r="E70">
        <v>0.18</v>
      </c>
      <c r="F70">
        <f t="shared" si="0"/>
        <v>0.22999999999999998</v>
      </c>
      <c r="T70"/>
      <c r="U70" s="26"/>
    </row>
    <row r="71" spans="1:25" ht="12.75">
      <c r="A71" s="8" t="s">
        <v>220</v>
      </c>
      <c r="B71">
        <v>199</v>
      </c>
      <c r="C71">
        <v>8.1</v>
      </c>
      <c r="D71">
        <v>3.11</v>
      </c>
      <c r="E71">
        <v>0.08</v>
      </c>
      <c r="F71">
        <f t="shared" si="0"/>
        <v>0.13</v>
      </c>
      <c r="T71"/>
      <c r="U71" s="26"/>
      <c r="Y71" t="s">
        <v>338</v>
      </c>
    </row>
    <row r="72" spans="1:40" ht="12.75">
      <c r="A72" s="8" t="s">
        <v>173</v>
      </c>
      <c r="B72">
        <v>199</v>
      </c>
      <c r="C72">
        <v>8</v>
      </c>
      <c r="D72">
        <v>3.01</v>
      </c>
      <c r="E72">
        <v>-0.02</v>
      </c>
      <c r="F72">
        <f t="shared" si="0"/>
        <v>0.030000000000000002</v>
      </c>
      <c r="T72"/>
      <c r="U72" s="26"/>
      <c r="V72" s="31"/>
      <c r="X72">
        <f aca="true" t="shared" si="9" ref="X72:X95">-0.002908389*V72^4+0.098890361*V72^3-1.916707014*V72^2+99.031446317*V72+12.547123733</f>
        <v>12.547123733</v>
      </c>
      <c r="Y72" t="s">
        <v>339</v>
      </c>
      <c r="Z72" t="s">
        <v>340</v>
      </c>
      <c r="AA72" t="s">
        <v>341</v>
      </c>
      <c r="AB72" t="s">
        <v>342</v>
      </c>
      <c r="AC72" t="s">
        <v>343</v>
      </c>
      <c r="AD72" t="s">
        <v>344</v>
      </c>
      <c r="AE72" t="s">
        <v>345</v>
      </c>
      <c r="AF72" t="s">
        <v>346</v>
      </c>
      <c r="AG72" t="s">
        <v>347</v>
      </c>
      <c r="AH72" t="s">
        <v>348</v>
      </c>
      <c r="AI72" t="s">
        <v>349</v>
      </c>
      <c r="AJ72" t="s">
        <v>350</v>
      </c>
      <c r="AK72" t="s">
        <v>351</v>
      </c>
      <c r="AL72" t="s">
        <v>352</v>
      </c>
      <c r="AM72" t="s">
        <v>353</v>
      </c>
      <c r="AN72" t="s">
        <v>354</v>
      </c>
    </row>
    <row r="73" spans="1:22" ht="12.75">
      <c r="A73" s="75" t="s">
        <v>378</v>
      </c>
      <c r="B73">
        <v>199</v>
      </c>
      <c r="C73">
        <v>7.97</v>
      </c>
      <c r="D73">
        <v>2.97</v>
      </c>
      <c r="E73">
        <v>-0.05</v>
      </c>
      <c r="F73">
        <f t="shared" si="0"/>
        <v>0</v>
      </c>
      <c r="T73"/>
      <c r="U73" s="26"/>
      <c r="V73" s="31"/>
    </row>
    <row r="74" spans="1:40" ht="12.75">
      <c r="A74" s="8" t="s">
        <v>219</v>
      </c>
      <c r="B74">
        <v>199</v>
      </c>
      <c r="C74">
        <v>7.9</v>
      </c>
      <c r="D74">
        <v>2.9</v>
      </c>
      <c r="E74">
        <v>-0.12</v>
      </c>
      <c r="F74">
        <f t="shared" si="0"/>
        <v>-0.06999999999999999</v>
      </c>
      <c r="T74"/>
      <c r="U74" s="26"/>
      <c r="V74" s="31">
        <f aca="true" t="shared" si="10" ref="V74:V86">(AI74/40.08+AJ74/24.3)*2</f>
        <v>0</v>
      </c>
      <c r="W74">
        <v>11</v>
      </c>
      <c r="X74">
        <f t="shared" si="9"/>
        <v>12.547123733</v>
      </c>
      <c r="Y74">
        <v>4.74</v>
      </c>
      <c r="Z74">
        <v>-0.4</v>
      </c>
      <c r="AA74">
        <v>33.08</v>
      </c>
      <c r="AB74">
        <v>2</v>
      </c>
      <c r="AC74">
        <v>10</v>
      </c>
      <c r="AD74">
        <v>-100</v>
      </c>
      <c r="AE74">
        <v>-100</v>
      </c>
      <c r="AF74">
        <v>-100</v>
      </c>
      <c r="AG74">
        <v>-100</v>
      </c>
      <c r="AH74">
        <v>-100</v>
      </c>
      <c r="AI74">
        <v>0</v>
      </c>
      <c r="AJ74">
        <v>0</v>
      </c>
      <c r="AK74">
        <v>2</v>
      </c>
      <c r="AL74">
        <v>0.5</v>
      </c>
      <c r="AM74">
        <v>3.47</v>
      </c>
      <c r="AN74">
        <v>0.5</v>
      </c>
    </row>
    <row r="75" spans="1:40" ht="12.75">
      <c r="A75" s="8" t="s">
        <v>218</v>
      </c>
      <c r="B75">
        <v>199</v>
      </c>
      <c r="C75">
        <v>7.8</v>
      </c>
      <c r="D75">
        <v>2.8</v>
      </c>
      <c r="E75">
        <v>-0.22</v>
      </c>
      <c r="F75">
        <f t="shared" si="0"/>
        <v>-0.16999999999999998</v>
      </c>
      <c r="T75"/>
      <c r="U75" s="26"/>
      <c r="V75" s="31">
        <f t="shared" si="10"/>
        <v>0.12058352430940587</v>
      </c>
      <c r="W75">
        <f>X75</f>
        <v>24.460987659525834</v>
      </c>
      <c r="X75">
        <f t="shared" si="9"/>
        <v>24.460987659525834</v>
      </c>
      <c r="Y75">
        <v>5.82</v>
      </c>
      <c r="Z75">
        <v>5.6</v>
      </c>
      <c r="AA75">
        <v>36.75</v>
      </c>
      <c r="AB75">
        <v>2.04</v>
      </c>
      <c r="AC75">
        <v>10</v>
      </c>
      <c r="AD75">
        <v>-4.52</v>
      </c>
      <c r="AE75">
        <v>-4.77</v>
      </c>
      <c r="AF75">
        <v>-7.17</v>
      </c>
      <c r="AG75">
        <v>-11.37</v>
      </c>
      <c r="AH75">
        <v>-4.81</v>
      </c>
      <c r="AI75">
        <v>2.4</v>
      </c>
      <c r="AJ75">
        <v>0.01</v>
      </c>
      <c r="AK75">
        <v>2</v>
      </c>
      <c r="AL75">
        <v>0.5</v>
      </c>
      <c r="AM75">
        <v>3.47</v>
      </c>
      <c r="AN75">
        <v>0.5</v>
      </c>
    </row>
    <row r="76" spans="1:40" ht="12.75">
      <c r="A76" t="s">
        <v>213</v>
      </c>
      <c r="B76">
        <v>199</v>
      </c>
      <c r="C76">
        <v>7.7</v>
      </c>
      <c r="D76">
        <v>2.7</v>
      </c>
      <c r="E76">
        <v>-0.32</v>
      </c>
      <c r="F76">
        <f t="shared" si="0"/>
        <v>-0.27</v>
      </c>
      <c r="T76"/>
      <c r="U76" s="26"/>
      <c r="V76" s="31">
        <f t="shared" si="10"/>
        <v>0.24084300534733002</v>
      </c>
      <c r="W76">
        <f aca="true" t="shared" si="11" ref="W76:W86">X76</f>
        <v>36.28834735137608</v>
      </c>
      <c r="X76">
        <f t="shared" si="9"/>
        <v>36.28834735137608</v>
      </c>
      <c r="Y76">
        <v>6.19</v>
      </c>
      <c r="Z76">
        <v>11.6</v>
      </c>
      <c r="AA76">
        <v>40.43</v>
      </c>
      <c r="AB76">
        <v>2.1</v>
      </c>
      <c r="AC76">
        <v>10</v>
      </c>
      <c r="AD76">
        <v>-3.55</v>
      </c>
      <c r="AE76">
        <v>-3.81</v>
      </c>
      <c r="AF76">
        <v>-6.21</v>
      </c>
      <c r="AG76">
        <v>-9.43</v>
      </c>
      <c r="AH76">
        <v>-4.53</v>
      </c>
      <c r="AI76">
        <v>4.81</v>
      </c>
      <c r="AJ76">
        <v>0.01</v>
      </c>
      <c r="AK76">
        <v>2</v>
      </c>
      <c r="AL76">
        <v>0.5</v>
      </c>
      <c r="AM76">
        <v>3.47</v>
      </c>
      <c r="AN76">
        <v>0.5</v>
      </c>
    </row>
    <row r="77" spans="1:40" ht="12.75">
      <c r="A77" s="8" t="s">
        <v>214</v>
      </c>
      <c r="B77">
        <v>199</v>
      </c>
      <c r="C77">
        <v>7.6</v>
      </c>
      <c r="D77">
        <v>2.6</v>
      </c>
      <c r="E77">
        <v>-0.42</v>
      </c>
      <c r="F77">
        <f t="shared" si="0"/>
        <v>-0.37</v>
      </c>
      <c r="T77"/>
      <c r="U77" s="26"/>
      <c r="V77" s="31">
        <f t="shared" si="10"/>
        <v>0.36142652965673594</v>
      </c>
      <c r="W77">
        <f t="shared" si="11"/>
        <v>48.09395718605771</v>
      </c>
      <c r="X77">
        <f t="shared" si="9"/>
        <v>48.09395718605771</v>
      </c>
      <c r="Y77">
        <v>6.43</v>
      </c>
      <c r="Z77">
        <v>17.7</v>
      </c>
      <c r="AA77">
        <v>44.11</v>
      </c>
      <c r="AB77">
        <v>2.16</v>
      </c>
      <c r="AC77">
        <v>10</v>
      </c>
      <c r="AD77">
        <v>-2.96</v>
      </c>
      <c r="AE77">
        <v>-3.21</v>
      </c>
      <c r="AF77">
        <v>-5.62</v>
      </c>
      <c r="AG77">
        <v>-8.25</v>
      </c>
      <c r="AH77">
        <v>-4.37</v>
      </c>
      <c r="AI77">
        <v>7.21</v>
      </c>
      <c r="AJ77">
        <v>0.02</v>
      </c>
      <c r="AK77">
        <v>2</v>
      </c>
      <c r="AL77">
        <v>0.5</v>
      </c>
      <c r="AM77">
        <v>3.47</v>
      </c>
      <c r="AN77">
        <v>0.5</v>
      </c>
    </row>
    <row r="78" spans="1:40" ht="12.75">
      <c r="A78" s="8" t="s">
        <v>192</v>
      </c>
      <c r="B78">
        <v>199</v>
      </c>
      <c r="C78">
        <v>7.5</v>
      </c>
      <c r="D78">
        <v>2.5</v>
      </c>
      <c r="E78">
        <v>-0.52</v>
      </c>
      <c r="F78">
        <f t="shared" si="0"/>
        <v>-0.47000000000000003</v>
      </c>
      <c r="T78"/>
      <c r="U78" s="26"/>
      <c r="V78" s="31">
        <f t="shared" si="10"/>
        <v>0.48250905596214977</v>
      </c>
      <c r="W78">
        <f t="shared" si="11"/>
        <v>59.895406522939275</v>
      </c>
      <c r="X78">
        <f t="shared" si="9"/>
        <v>59.895406522939275</v>
      </c>
      <c r="Y78">
        <v>6.64</v>
      </c>
      <c r="Z78">
        <v>23.7</v>
      </c>
      <c r="AA78">
        <v>47.79</v>
      </c>
      <c r="AB78">
        <v>2.24</v>
      </c>
      <c r="AC78">
        <v>10</v>
      </c>
      <c r="AD78">
        <v>-2.51</v>
      </c>
      <c r="AE78">
        <v>-2.77</v>
      </c>
      <c r="AF78">
        <v>-5.17</v>
      </c>
      <c r="AG78">
        <v>-7.36</v>
      </c>
      <c r="AH78">
        <v>-4.26</v>
      </c>
      <c r="AI78">
        <v>9.62</v>
      </c>
      <c r="AJ78">
        <v>0.03</v>
      </c>
      <c r="AK78">
        <v>2</v>
      </c>
      <c r="AL78">
        <v>0.5</v>
      </c>
      <c r="AM78">
        <v>3.47</v>
      </c>
      <c r="AN78">
        <v>0.5</v>
      </c>
    </row>
    <row r="79" spans="1:40" ht="12.75">
      <c r="A79" s="8" t="s">
        <v>215</v>
      </c>
      <c r="B79">
        <v>199</v>
      </c>
      <c r="C79">
        <v>7.4</v>
      </c>
      <c r="D79">
        <v>2.4</v>
      </c>
      <c r="E79">
        <v>-0.61</v>
      </c>
      <c r="F79">
        <f t="shared" si="0"/>
        <v>-0.5599999999999999</v>
      </c>
      <c r="T79"/>
      <c r="U79" s="26"/>
      <c r="V79" s="31">
        <f t="shared" si="10"/>
        <v>0.6030925802715557</v>
      </c>
      <c r="W79">
        <f t="shared" si="11"/>
        <v>71.5964158365886</v>
      </c>
      <c r="X79">
        <f t="shared" si="9"/>
        <v>71.5964158365886</v>
      </c>
      <c r="Y79">
        <v>6.83</v>
      </c>
      <c r="Z79">
        <v>29.8</v>
      </c>
      <c r="AA79">
        <v>51.47</v>
      </c>
      <c r="AB79">
        <v>2.33</v>
      </c>
      <c r="AC79">
        <v>10</v>
      </c>
      <c r="AD79">
        <v>-2.13</v>
      </c>
      <c r="AE79">
        <v>-2.39</v>
      </c>
      <c r="AF79">
        <v>-4.79</v>
      </c>
      <c r="AG79">
        <v>-6.6</v>
      </c>
      <c r="AH79">
        <v>-4.18</v>
      </c>
      <c r="AI79">
        <v>12.02</v>
      </c>
      <c r="AJ79">
        <v>0.04</v>
      </c>
      <c r="AK79">
        <v>2</v>
      </c>
      <c r="AL79">
        <v>0.5</v>
      </c>
      <c r="AM79">
        <v>3.47</v>
      </c>
      <c r="AN79">
        <v>0.5</v>
      </c>
    </row>
    <row r="80" spans="1:40" ht="12.75">
      <c r="A80" s="8" t="s">
        <v>216</v>
      </c>
      <c r="B80">
        <v>199</v>
      </c>
      <c r="C80">
        <v>7.3</v>
      </c>
      <c r="D80">
        <v>2.3</v>
      </c>
      <c r="E80">
        <v>-0.71</v>
      </c>
      <c r="F80">
        <f t="shared" si="0"/>
        <v>-0.6599999999999999</v>
      </c>
      <c r="T80"/>
      <c r="U80" s="26"/>
      <c r="V80" s="31">
        <f t="shared" si="10"/>
        <v>0.7233520613094798</v>
      </c>
      <c r="W80">
        <f t="shared" si="11"/>
        <v>83.21546253173736</v>
      </c>
      <c r="X80">
        <f t="shared" si="9"/>
        <v>83.21546253173736</v>
      </c>
      <c r="Y80">
        <v>7.02</v>
      </c>
      <c r="Z80">
        <v>35.8</v>
      </c>
      <c r="AA80">
        <v>55.15</v>
      </c>
      <c r="AB80">
        <v>2.45</v>
      </c>
      <c r="AC80">
        <v>10</v>
      </c>
      <c r="AD80">
        <v>-1.78</v>
      </c>
      <c r="AE80">
        <v>-2.04</v>
      </c>
      <c r="AF80">
        <v>-4.44</v>
      </c>
      <c r="AG80">
        <v>-5.9</v>
      </c>
      <c r="AH80">
        <v>-4.11</v>
      </c>
      <c r="AI80">
        <v>14.43</v>
      </c>
      <c r="AJ80">
        <v>0.04</v>
      </c>
      <c r="AK80">
        <v>2</v>
      </c>
      <c r="AL80">
        <v>0.5</v>
      </c>
      <c r="AM80">
        <v>3.47</v>
      </c>
      <c r="AN80">
        <v>0.5</v>
      </c>
    </row>
    <row r="81" spans="1:40" ht="12.75">
      <c r="A81" s="8" t="s">
        <v>187</v>
      </c>
      <c r="B81">
        <v>199</v>
      </c>
      <c r="C81">
        <v>7.2</v>
      </c>
      <c r="D81">
        <v>2.2</v>
      </c>
      <c r="E81">
        <v>-0.81</v>
      </c>
      <c r="F81">
        <f t="shared" si="0"/>
        <v>-0.76</v>
      </c>
      <c r="T81"/>
      <c r="U81" s="26"/>
      <c r="V81" s="31">
        <f t="shared" si="10"/>
        <v>0.8439355856188856</v>
      </c>
      <c r="W81">
        <f t="shared" si="11"/>
        <v>94.81611945332239</v>
      </c>
      <c r="X81">
        <f t="shared" si="9"/>
        <v>94.81611945332239</v>
      </c>
      <c r="Y81">
        <v>7.26</v>
      </c>
      <c r="Z81">
        <v>41.8</v>
      </c>
      <c r="AA81">
        <v>58.83</v>
      </c>
      <c r="AB81">
        <v>2.62</v>
      </c>
      <c r="AC81">
        <v>10</v>
      </c>
      <c r="AD81">
        <v>-1.42</v>
      </c>
      <c r="AE81">
        <v>-1.68</v>
      </c>
      <c r="AF81">
        <v>-4.08</v>
      </c>
      <c r="AG81">
        <v>-5.18</v>
      </c>
      <c r="AH81">
        <v>-4.06</v>
      </c>
      <c r="AI81">
        <v>16.83</v>
      </c>
      <c r="AJ81">
        <v>0.05</v>
      </c>
      <c r="AK81">
        <v>2</v>
      </c>
      <c r="AL81">
        <v>0.5</v>
      </c>
      <c r="AM81">
        <v>3.47</v>
      </c>
      <c r="AN81">
        <v>0.5</v>
      </c>
    </row>
    <row r="82" spans="1:40" ht="12.75">
      <c r="A82" s="8" t="s">
        <v>180</v>
      </c>
      <c r="B82">
        <v>199</v>
      </c>
      <c r="C82">
        <v>7.1</v>
      </c>
      <c r="D82">
        <v>2.1</v>
      </c>
      <c r="E82">
        <v>-0.91</v>
      </c>
      <c r="F82">
        <f t="shared" si="0"/>
        <v>-0.86</v>
      </c>
      <c r="T82"/>
      <c r="U82" s="26"/>
      <c r="V82" s="31">
        <f t="shared" si="10"/>
        <v>0.9650181119242995</v>
      </c>
      <c r="W82">
        <f t="shared" si="11"/>
        <v>106.41565936173654</v>
      </c>
      <c r="X82">
        <f>-0.002908389*V82^4+0.098890361*V82^3-1.916707014*V82^2+99.031446317*V82+12.547123733</f>
        <v>106.41565936173654</v>
      </c>
      <c r="Y82">
        <v>7.58</v>
      </c>
      <c r="Z82">
        <v>47.9</v>
      </c>
      <c r="AA82">
        <v>62.51</v>
      </c>
      <c r="AB82">
        <v>2.88</v>
      </c>
      <c r="AC82">
        <v>10</v>
      </c>
      <c r="AD82">
        <v>-0.99</v>
      </c>
      <c r="AE82">
        <v>-1.25</v>
      </c>
      <c r="AF82">
        <v>-3.65</v>
      </c>
      <c r="AG82">
        <v>-4.32</v>
      </c>
      <c r="AH82">
        <v>-4.01</v>
      </c>
      <c r="AI82">
        <v>19.24</v>
      </c>
      <c r="AJ82">
        <v>0.06</v>
      </c>
      <c r="AK82">
        <v>2</v>
      </c>
      <c r="AL82">
        <v>0.5</v>
      </c>
      <c r="AM82">
        <v>3.47</v>
      </c>
      <c r="AN82">
        <v>0.5</v>
      </c>
    </row>
    <row r="83" spans="1:40" ht="12.75">
      <c r="A83" s="8" t="s">
        <v>217</v>
      </c>
      <c r="B83">
        <v>199</v>
      </c>
      <c r="C83">
        <v>7</v>
      </c>
      <c r="D83">
        <v>2</v>
      </c>
      <c r="E83">
        <v>-1.01</v>
      </c>
      <c r="F83">
        <f t="shared" si="0"/>
        <v>-0.96</v>
      </c>
      <c r="T83"/>
      <c r="U83" s="26"/>
      <c r="V83" s="31">
        <f t="shared" si="10"/>
        <v>1.0856016362337055</v>
      </c>
      <c r="W83">
        <f t="shared" si="11"/>
        <v>117.91940768316942</v>
      </c>
      <c r="X83">
        <f>-0.002908389*V83^4+0.098890361*V83^3-1.916707014*V83^2+99.031446317*V83+12.547123733</f>
        <v>117.91940768316942</v>
      </c>
      <c r="Y83">
        <v>8.22</v>
      </c>
      <c r="Z83">
        <v>53.9</v>
      </c>
      <c r="AA83">
        <v>66.19</v>
      </c>
      <c r="AB83">
        <v>3.48</v>
      </c>
      <c r="AC83">
        <v>10</v>
      </c>
      <c r="AD83">
        <v>-0.25</v>
      </c>
      <c r="AE83">
        <v>-0.51</v>
      </c>
      <c r="AF83">
        <v>-2.91</v>
      </c>
      <c r="AG83">
        <v>-2.85</v>
      </c>
      <c r="AH83">
        <v>-3.97</v>
      </c>
      <c r="AI83">
        <v>21.64</v>
      </c>
      <c r="AJ83">
        <v>0.07</v>
      </c>
      <c r="AK83">
        <v>2</v>
      </c>
      <c r="AL83">
        <v>0.5</v>
      </c>
      <c r="AM83">
        <v>3.47</v>
      </c>
      <c r="AN83">
        <v>0.5</v>
      </c>
    </row>
    <row r="84" spans="1:40" ht="12.75">
      <c r="A84" s="8" t="s">
        <v>285</v>
      </c>
      <c r="B84">
        <v>199</v>
      </c>
      <c r="C84">
        <v>6.96</v>
      </c>
      <c r="D84" s="8">
        <v>1.96</v>
      </c>
      <c r="E84">
        <v>-1.05</v>
      </c>
      <c r="F84">
        <f t="shared" si="0"/>
        <v>-1</v>
      </c>
      <c r="T84"/>
      <c r="U84" s="26"/>
      <c r="V84" s="31">
        <f t="shared" si="10"/>
        <v>1.097577684137897</v>
      </c>
      <c r="W84">
        <f t="shared" si="11"/>
        <v>119.05935147061464</v>
      </c>
      <c r="X84">
        <f>-0.002908389*V84^4+0.098890361*V84^3-1.916707014*V84^2+99.031446317*V84+12.547123733</f>
        <v>119.05935147061464</v>
      </c>
      <c r="Y84">
        <v>8.32</v>
      </c>
      <c r="Z84">
        <v>54.5</v>
      </c>
      <c r="AA84">
        <v>66.56</v>
      </c>
      <c r="AB84">
        <v>3.58</v>
      </c>
      <c r="AC84">
        <v>10</v>
      </c>
      <c r="AD84">
        <v>-0.15</v>
      </c>
      <c r="AE84">
        <v>-0.41</v>
      </c>
      <c r="AF84">
        <v>-2.81</v>
      </c>
      <c r="AG84">
        <v>-2.64</v>
      </c>
      <c r="AH84">
        <v>-3.97</v>
      </c>
      <c r="AI84">
        <v>21.88</v>
      </c>
      <c r="AJ84">
        <v>0.07</v>
      </c>
      <c r="AK84">
        <v>2</v>
      </c>
      <c r="AL84">
        <v>0.5</v>
      </c>
      <c r="AM84">
        <v>3.47</v>
      </c>
      <c r="AN84">
        <v>0.5</v>
      </c>
    </row>
    <row r="85" spans="1:40" ht="12.75">
      <c r="A85" s="8" t="s">
        <v>286</v>
      </c>
      <c r="B85">
        <v>199</v>
      </c>
      <c r="C85">
        <v>6.5</v>
      </c>
      <c r="D85" s="8">
        <v>1.5</v>
      </c>
      <c r="E85">
        <v>-1.52</v>
      </c>
      <c r="F85">
        <f t="shared" si="0"/>
        <v>-1.47</v>
      </c>
      <c r="T85"/>
      <c r="U85" s="26"/>
      <c r="V85" s="31">
        <f t="shared" si="10"/>
        <v>1.1060607180700328</v>
      </c>
      <c r="W85">
        <f t="shared" si="11"/>
        <v>119.86653181132533</v>
      </c>
      <c r="X85">
        <f>-0.002908389*V85^4+0.098890361*V85^3-1.916707014*V85^2+99.031446317*V85+12.547123733</f>
        <v>119.86653181132533</v>
      </c>
      <c r="Y85">
        <v>8.39</v>
      </c>
      <c r="Z85">
        <v>54.9</v>
      </c>
      <c r="AA85">
        <v>66.81</v>
      </c>
      <c r="AB85">
        <v>3.65</v>
      </c>
      <c r="AC85">
        <v>10</v>
      </c>
      <c r="AD85">
        <v>-0.08</v>
      </c>
      <c r="AE85">
        <v>-0.33</v>
      </c>
      <c r="AF85">
        <v>-2.73</v>
      </c>
      <c r="AG85">
        <v>-2.49</v>
      </c>
      <c r="AH85">
        <v>-3.96</v>
      </c>
      <c r="AI85">
        <v>22.05</v>
      </c>
      <c r="AJ85">
        <v>0.07</v>
      </c>
      <c r="AK85">
        <v>2</v>
      </c>
      <c r="AL85">
        <v>0.5</v>
      </c>
      <c r="AM85">
        <v>3.47</v>
      </c>
      <c r="AN85">
        <v>0.5</v>
      </c>
    </row>
    <row r="86" spans="1:40" ht="12.75">
      <c r="A86" s="8" t="s">
        <v>287</v>
      </c>
      <c r="B86">
        <v>199</v>
      </c>
      <c r="C86">
        <v>6.47</v>
      </c>
      <c r="D86" s="8">
        <v>1.47</v>
      </c>
      <c r="E86">
        <v>-1.55</v>
      </c>
      <c r="F86">
        <f t="shared" si="0"/>
        <v>-1.5</v>
      </c>
      <c r="T86"/>
      <c r="U86" s="26"/>
      <c r="V86" s="31">
        <f t="shared" si="10"/>
        <v>1.1085557280500729</v>
      </c>
      <c r="W86">
        <f t="shared" si="11"/>
        <v>120.1038936835624</v>
      </c>
      <c r="X86">
        <f>-0.002908389*V86^4+0.098890361*V86^3-1.916707014*V86^2+99.031446317*V86+12.547123733</f>
        <v>120.1038936835624</v>
      </c>
      <c r="Y86">
        <v>8.41</v>
      </c>
      <c r="Z86">
        <v>55</v>
      </c>
      <c r="AA86">
        <v>66.89</v>
      </c>
      <c r="AB86">
        <v>3.67</v>
      </c>
      <c r="AC86">
        <v>10</v>
      </c>
      <c r="AD86">
        <v>-0.05</v>
      </c>
      <c r="AE86">
        <v>-0.31</v>
      </c>
      <c r="AF86">
        <v>-2.71</v>
      </c>
      <c r="AG86">
        <v>-2.45</v>
      </c>
      <c r="AH86">
        <v>-3.96</v>
      </c>
      <c r="AI86">
        <v>22.1</v>
      </c>
      <c r="AJ86">
        <v>0.07</v>
      </c>
      <c r="AK86">
        <v>2</v>
      </c>
      <c r="AL86">
        <v>0.5</v>
      </c>
      <c r="AM86">
        <v>3.47</v>
      </c>
      <c r="AN86">
        <v>0.5</v>
      </c>
    </row>
    <row r="87" spans="1:22" ht="12.75">
      <c r="A87" s="8" t="s">
        <v>288</v>
      </c>
      <c r="B87">
        <v>199</v>
      </c>
      <c r="C87">
        <v>6.01</v>
      </c>
      <c r="D87" s="8">
        <v>1</v>
      </c>
      <c r="E87">
        <v>-2.01</v>
      </c>
      <c r="F87">
        <f t="shared" si="0"/>
        <v>-1.9599999999999997</v>
      </c>
      <c r="T87"/>
      <c r="U87" s="26"/>
      <c r="V87" s="31"/>
    </row>
    <row r="88" spans="1:22" ht="12.75">
      <c r="A88" s="8" t="s">
        <v>289</v>
      </c>
      <c r="B88">
        <v>199</v>
      </c>
      <c r="C88">
        <v>5.97</v>
      </c>
      <c r="D88" s="8">
        <v>0.97</v>
      </c>
      <c r="E88">
        <v>-2.05</v>
      </c>
      <c r="F88">
        <f t="shared" si="0"/>
        <v>-1.9999999999999998</v>
      </c>
      <c r="T88"/>
      <c r="U88" s="26"/>
      <c r="V88" s="31"/>
    </row>
    <row r="89" spans="4:25" ht="12.75">
      <c r="D89" s="8"/>
      <c r="T89"/>
      <c r="U89" s="26"/>
      <c r="V89" s="31"/>
      <c r="Y89" t="s">
        <v>358</v>
      </c>
    </row>
    <row r="90" spans="1:40" ht="12.75">
      <c r="A90" s="8" t="s">
        <v>212</v>
      </c>
      <c r="B90">
        <v>297</v>
      </c>
      <c r="C90">
        <v>8.6</v>
      </c>
      <c r="D90">
        <v>3.44</v>
      </c>
      <c r="E90">
        <v>0.9</v>
      </c>
      <c r="F90">
        <f t="shared" si="0"/>
        <v>0.9500000000000001</v>
      </c>
      <c r="T90"/>
      <c r="U90" s="26"/>
      <c r="V90" s="31"/>
      <c r="Y90" t="s">
        <v>339</v>
      </c>
      <c r="Z90" t="s">
        <v>340</v>
      </c>
      <c r="AA90" t="s">
        <v>341</v>
      </c>
      <c r="AB90" t="s">
        <v>342</v>
      </c>
      <c r="AC90" t="s">
        <v>343</v>
      </c>
      <c r="AD90" t="s">
        <v>344</v>
      </c>
      <c r="AE90" t="s">
        <v>345</v>
      </c>
      <c r="AF90" t="s">
        <v>346</v>
      </c>
      <c r="AG90" t="s">
        <v>347</v>
      </c>
      <c r="AH90" t="s">
        <v>348</v>
      </c>
      <c r="AI90" t="s">
        <v>349</v>
      </c>
      <c r="AJ90" t="s">
        <v>350</v>
      </c>
      <c r="AK90" t="s">
        <v>351</v>
      </c>
      <c r="AL90" t="s">
        <v>352</v>
      </c>
      <c r="AM90" t="s">
        <v>353</v>
      </c>
      <c r="AN90" t="s">
        <v>354</v>
      </c>
    </row>
    <row r="91" spans="1:40" ht="12.75">
      <c r="A91" s="8" t="s">
        <v>211</v>
      </c>
      <c r="B91">
        <v>297</v>
      </c>
      <c r="C91">
        <v>8.5</v>
      </c>
      <c r="D91">
        <v>3.33</v>
      </c>
      <c r="E91">
        <v>0.81</v>
      </c>
      <c r="F91">
        <f t="shared" si="0"/>
        <v>0.8600000000000001</v>
      </c>
      <c r="T91"/>
      <c r="U91" s="26"/>
      <c r="V91" s="31">
        <f aca="true" t="shared" si="12" ref="V91:V97">(AI91/40.08+AJ91/24.3)*2</f>
        <v>0</v>
      </c>
      <c r="W91">
        <v>11</v>
      </c>
      <c r="X91">
        <f t="shared" si="9"/>
        <v>12.547123733</v>
      </c>
      <c r="Y91">
        <v>4.54</v>
      </c>
      <c r="Z91">
        <v>-0.4</v>
      </c>
      <c r="AA91">
        <v>105.08</v>
      </c>
      <c r="AB91">
        <v>1.5</v>
      </c>
      <c r="AC91">
        <v>10</v>
      </c>
      <c r="AD91">
        <v>-100</v>
      </c>
      <c r="AE91">
        <v>-100</v>
      </c>
      <c r="AF91">
        <v>-100</v>
      </c>
      <c r="AG91">
        <v>-100</v>
      </c>
      <c r="AH91">
        <v>-100</v>
      </c>
      <c r="AI91">
        <v>0</v>
      </c>
      <c r="AJ91">
        <v>0</v>
      </c>
      <c r="AK91">
        <v>2</v>
      </c>
      <c r="AL91">
        <v>0.5</v>
      </c>
      <c r="AM91">
        <v>3.47</v>
      </c>
      <c r="AN91">
        <v>0.5</v>
      </c>
    </row>
    <row r="92" spans="1:40" ht="12.75">
      <c r="A92" s="8" t="s">
        <v>191</v>
      </c>
      <c r="B92">
        <v>297</v>
      </c>
      <c r="C92">
        <v>8.4</v>
      </c>
      <c r="D92">
        <v>3.23</v>
      </c>
      <c r="E92">
        <v>0.71</v>
      </c>
      <c r="F92">
        <f t="shared" si="0"/>
        <v>0.76</v>
      </c>
      <c r="T92"/>
      <c r="U92" s="26"/>
      <c r="V92" s="31">
        <f t="shared" si="12"/>
        <v>0.48250905596214977</v>
      </c>
      <c r="W92">
        <f>X92</f>
        <v>59.895406522939275</v>
      </c>
      <c r="X92">
        <f t="shared" si="9"/>
        <v>59.895406522939275</v>
      </c>
      <c r="Y92">
        <v>5.95</v>
      </c>
      <c r="Z92">
        <v>23.7</v>
      </c>
      <c r="AA92">
        <v>119.79</v>
      </c>
      <c r="AB92">
        <v>1.56</v>
      </c>
      <c r="AC92">
        <v>10</v>
      </c>
      <c r="AD92">
        <v>-3.19</v>
      </c>
      <c r="AE92">
        <v>-3.45</v>
      </c>
      <c r="AF92">
        <v>-5.85</v>
      </c>
      <c r="AG92">
        <v>-8.72</v>
      </c>
      <c r="AH92">
        <v>-4.26</v>
      </c>
      <c r="AI92">
        <v>9.62</v>
      </c>
      <c r="AJ92">
        <v>0.03</v>
      </c>
      <c r="AK92">
        <v>2</v>
      </c>
      <c r="AL92">
        <v>0.5</v>
      </c>
      <c r="AM92">
        <v>3.47</v>
      </c>
      <c r="AN92">
        <v>0.5</v>
      </c>
    </row>
    <row r="93" spans="1:40" ht="12.75">
      <c r="A93" s="8" t="s">
        <v>210</v>
      </c>
      <c r="B93">
        <v>297</v>
      </c>
      <c r="C93">
        <v>8.3</v>
      </c>
      <c r="D93">
        <v>3.13</v>
      </c>
      <c r="E93">
        <v>0.62</v>
      </c>
      <c r="F93">
        <f t="shared" si="0"/>
        <v>0.67</v>
      </c>
      <c r="T93"/>
      <c r="U93" s="26"/>
      <c r="V93" s="31">
        <f t="shared" si="12"/>
        <v>0.6030925802715557</v>
      </c>
      <c r="W93">
        <f aca="true" t="shared" si="13" ref="W93:W106">X93</f>
        <v>71.5964158365886</v>
      </c>
      <c r="X93">
        <f t="shared" si="9"/>
        <v>71.5964158365886</v>
      </c>
      <c r="Y93">
        <v>6.07</v>
      </c>
      <c r="Z93">
        <v>29.8</v>
      </c>
      <c r="AA93">
        <v>123.47</v>
      </c>
      <c r="AB93">
        <v>1.57</v>
      </c>
      <c r="AC93">
        <v>10</v>
      </c>
      <c r="AD93">
        <v>-2.89</v>
      </c>
      <c r="AE93">
        <v>-3.15</v>
      </c>
      <c r="AF93">
        <v>-5.55</v>
      </c>
      <c r="AG93">
        <v>-8.11</v>
      </c>
      <c r="AH93">
        <v>-4.18</v>
      </c>
      <c r="AI93">
        <v>12.02</v>
      </c>
      <c r="AJ93">
        <v>0.04</v>
      </c>
      <c r="AK93">
        <v>2</v>
      </c>
      <c r="AL93">
        <v>0.5</v>
      </c>
      <c r="AM93">
        <v>3.47</v>
      </c>
      <c r="AN93">
        <v>0.5</v>
      </c>
    </row>
    <row r="94" spans="1:40" ht="12.75">
      <c r="A94" s="8" t="s">
        <v>201</v>
      </c>
      <c r="B94">
        <v>297</v>
      </c>
      <c r="C94">
        <v>8.2</v>
      </c>
      <c r="D94">
        <v>3.03</v>
      </c>
      <c r="E94">
        <v>0.53</v>
      </c>
      <c r="F94">
        <f t="shared" si="0"/>
        <v>0.5800000000000001</v>
      </c>
      <c r="T94"/>
      <c r="U94" s="26"/>
      <c r="V94" s="31">
        <f t="shared" si="12"/>
        <v>0.7233520613094798</v>
      </c>
      <c r="W94">
        <f t="shared" si="13"/>
        <v>83.21546253173736</v>
      </c>
      <c r="X94">
        <f t="shared" si="9"/>
        <v>83.21546253173736</v>
      </c>
      <c r="Y94">
        <v>6.17</v>
      </c>
      <c r="Z94">
        <v>35.8</v>
      </c>
      <c r="AA94">
        <v>127.15</v>
      </c>
      <c r="AB94">
        <v>1.59</v>
      </c>
      <c r="AC94">
        <v>10</v>
      </c>
      <c r="AD94">
        <v>-2.64</v>
      </c>
      <c r="AE94">
        <v>-2.9</v>
      </c>
      <c r="AF94">
        <v>-5.3</v>
      </c>
      <c r="AG94">
        <v>-7.61</v>
      </c>
      <c r="AH94">
        <v>-4.11</v>
      </c>
      <c r="AI94">
        <v>14.43</v>
      </c>
      <c r="AJ94">
        <v>0.04</v>
      </c>
      <c r="AK94">
        <v>2</v>
      </c>
      <c r="AL94">
        <v>0.5</v>
      </c>
      <c r="AM94">
        <v>3.47</v>
      </c>
      <c r="AN94">
        <v>0.5</v>
      </c>
    </row>
    <row r="95" spans="1:40" ht="12.75">
      <c r="A95" s="8" t="s">
        <v>209</v>
      </c>
      <c r="B95">
        <v>297</v>
      </c>
      <c r="C95">
        <v>8.1</v>
      </c>
      <c r="D95">
        <v>2.92</v>
      </c>
      <c r="E95">
        <v>0.42</v>
      </c>
      <c r="F95">
        <f t="shared" si="0"/>
        <v>0.47</v>
      </c>
      <c r="T95"/>
      <c r="U95" s="26"/>
      <c r="V95" s="31">
        <f t="shared" si="12"/>
        <v>0.8439355856188856</v>
      </c>
      <c r="W95">
        <f t="shared" si="13"/>
        <v>94.81611945332239</v>
      </c>
      <c r="X95">
        <f t="shared" si="9"/>
        <v>94.81611945332239</v>
      </c>
      <c r="Y95">
        <v>6.25</v>
      </c>
      <c r="Z95">
        <v>41.8</v>
      </c>
      <c r="AA95">
        <v>130.83</v>
      </c>
      <c r="AB95">
        <v>1.61</v>
      </c>
      <c r="AC95">
        <v>10</v>
      </c>
      <c r="AD95">
        <v>-2.42</v>
      </c>
      <c r="AE95">
        <v>-2.68</v>
      </c>
      <c r="AF95">
        <v>-5.08</v>
      </c>
      <c r="AG95">
        <v>-7.19</v>
      </c>
      <c r="AH95">
        <v>-4.06</v>
      </c>
      <c r="AI95">
        <v>16.83</v>
      </c>
      <c r="AJ95">
        <v>0.05</v>
      </c>
      <c r="AK95">
        <v>2</v>
      </c>
      <c r="AL95">
        <v>0.5</v>
      </c>
      <c r="AM95">
        <v>3.47</v>
      </c>
      <c r="AN95">
        <v>0.5</v>
      </c>
    </row>
    <row r="96" spans="1:40" ht="12.75">
      <c r="A96" s="8" t="s">
        <v>208</v>
      </c>
      <c r="B96">
        <v>297</v>
      </c>
      <c r="C96">
        <v>8</v>
      </c>
      <c r="D96">
        <v>2.82</v>
      </c>
      <c r="E96">
        <v>0.33</v>
      </c>
      <c r="F96">
        <f t="shared" si="0"/>
        <v>0.38</v>
      </c>
      <c r="T96"/>
      <c r="U96" s="26"/>
      <c r="V96" s="31">
        <f t="shared" si="12"/>
        <v>0.9650181119242995</v>
      </c>
      <c r="W96">
        <f t="shared" si="13"/>
        <v>106.41565936173654</v>
      </c>
      <c r="X96">
        <f aca="true" t="shared" si="14" ref="X96:X138">-0.002908389*V96^4+0.098890361*V96^3-1.916707014*V96^2+99.031446317*V96+12.547123733</f>
        <v>106.41565936173654</v>
      </c>
      <c r="Y96">
        <v>6.33</v>
      </c>
      <c r="Z96">
        <v>47.9</v>
      </c>
      <c r="AA96">
        <v>134.51</v>
      </c>
      <c r="AB96">
        <v>1.63</v>
      </c>
      <c r="AC96">
        <v>10</v>
      </c>
      <c r="AD96">
        <v>-2.23</v>
      </c>
      <c r="AE96">
        <v>-2.49</v>
      </c>
      <c r="AF96">
        <v>-4.89</v>
      </c>
      <c r="AG96">
        <v>-6.81</v>
      </c>
      <c r="AH96">
        <v>-4.01</v>
      </c>
      <c r="AI96">
        <v>19.24</v>
      </c>
      <c r="AJ96">
        <v>0.06</v>
      </c>
      <c r="AK96">
        <v>2</v>
      </c>
      <c r="AL96">
        <v>0.5</v>
      </c>
      <c r="AM96">
        <v>3.47</v>
      </c>
      <c r="AN96">
        <v>0.5</v>
      </c>
    </row>
    <row r="97" spans="1:40" ht="12.75">
      <c r="A97" s="8" t="s">
        <v>192</v>
      </c>
      <c r="B97">
        <v>297</v>
      </c>
      <c r="C97">
        <v>7.9</v>
      </c>
      <c r="D97">
        <v>2.72</v>
      </c>
      <c r="E97">
        <v>0.23</v>
      </c>
      <c r="F97">
        <f t="shared" si="0"/>
        <v>0.28</v>
      </c>
      <c r="T97"/>
      <c r="U97" s="26"/>
      <c r="V97" s="31">
        <f t="shared" si="12"/>
        <v>1.2058611172716296</v>
      </c>
      <c r="W97">
        <f t="shared" si="13"/>
        <v>129.34545775640612</v>
      </c>
      <c r="X97">
        <f t="shared" si="14"/>
        <v>129.34545775640612</v>
      </c>
      <c r="Y97">
        <v>6.47</v>
      </c>
      <c r="Z97">
        <v>59.9</v>
      </c>
      <c r="AA97">
        <v>141.87</v>
      </c>
      <c r="AB97">
        <v>1.68</v>
      </c>
      <c r="AC97">
        <v>10</v>
      </c>
      <c r="AD97">
        <v>-1.91</v>
      </c>
      <c r="AE97">
        <v>-2.17</v>
      </c>
      <c r="AF97">
        <v>-4.57</v>
      </c>
      <c r="AG97">
        <v>-6.16</v>
      </c>
      <c r="AH97">
        <v>-3.93</v>
      </c>
      <c r="AI97">
        <v>24.05</v>
      </c>
      <c r="AJ97">
        <v>0.07</v>
      </c>
      <c r="AK97">
        <v>2</v>
      </c>
      <c r="AL97">
        <v>0.5</v>
      </c>
      <c r="AM97">
        <v>3.47</v>
      </c>
      <c r="AN97">
        <v>0.5</v>
      </c>
    </row>
    <row r="98" spans="1:40" ht="12.75">
      <c r="A98" s="8" t="s">
        <v>207</v>
      </c>
      <c r="B98">
        <v>297</v>
      </c>
      <c r="C98">
        <v>7.8</v>
      </c>
      <c r="D98">
        <v>2.61</v>
      </c>
      <c r="E98">
        <v>0.13</v>
      </c>
      <c r="F98">
        <f t="shared" si="0"/>
        <v>0.18</v>
      </c>
      <c r="T98"/>
      <c r="U98" s="26"/>
      <c r="V98" s="31">
        <f aca="true" t="shared" si="15" ref="V98:V106">(AI98/40.08+AJ98/24.3)*2</f>
        <v>1.4475271678864492</v>
      </c>
      <c r="W98">
        <f t="shared" si="13"/>
        <v>152.16886039991354</v>
      </c>
      <c r="X98">
        <f t="shared" si="14"/>
        <v>152.16886039991354</v>
      </c>
      <c r="Y98">
        <v>6.6</v>
      </c>
      <c r="Z98">
        <v>72</v>
      </c>
      <c r="AA98">
        <v>149.23</v>
      </c>
      <c r="AB98">
        <v>1.73</v>
      </c>
      <c r="AC98">
        <v>10</v>
      </c>
      <c r="AD98">
        <v>-1.63</v>
      </c>
      <c r="AE98">
        <v>-1.89</v>
      </c>
      <c r="AF98">
        <v>-4.29</v>
      </c>
      <c r="AG98">
        <v>-5.61</v>
      </c>
      <c r="AH98">
        <v>-3.87</v>
      </c>
      <c r="AI98">
        <v>28.86</v>
      </c>
      <c r="AJ98">
        <v>0.09</v>
      </c>
      <c r="AK98">
        <v>2</v>
      </c>
      <c r="AL98">
        <v>0.5</v>
      </c>
      <c r="AM98">
        <v>3.47</v>
      </c>
      <c r="AN98">
        <v>0.5</v>
      </c>
    </row>
    <row r="99" spans="1:40" ht="12.75">
      <c r="A99" t="s">
        <v>205</v>
      </c>
      <c r="B99">
        <v>297</v>
      </c>
      <c r="C99">
        <v>7.7</v>
      </c>
      <c r="D99">
        <v>2.52</v>
      </c>
      <c r="E99">
        <v>0.03</v>
      </c>
      <c r="F99">
        <f aca="true" t="shared" si="16" ref="F99:F178">E99+0.05</f>
        <v>0.08</v>
      </c>
      <c r="T99"/>
      <c r="U99" s="26"/>
      <c r="V99" s="31">
        <f t="shared" si="15"/>
        <v>1.8089536975431852</v>
      </c>
      <c r="W99">
        <f t="shared" si="13"/>
        <v>185.9725932789066</v>
      </c>
      <c r="X99">
        <f t="shared" si="14"/>
        <v>185.9725932789066</v>
      </c>
      <c r="Y99">
        <v>6.78</v>
      </c>
      <c r="Z99">
        <v>90.1</v>
      </c>
      <c r="AA99">
        <v>160.27</v>
      </c>
      <c r="AB99">
        <v>1.81</v>
      </c>
      <c r="AC99">
        <v>10</v>
      </c>
      <c r="AD99">
        <v>-1.27</v>
      </c>
      <c r="AE99">
        <v>-1.53</v>
      </c>
      <c r="AF99">
        <v>-3.93</v>
      </c>
      <c r="AG99">
        <v>-4.89</v>
      </c>
      <c r="AH99">
        <v>-3.8</v>
      </c>
      <c r="AI99">
        <v>36.07</v>
      </c>
      <c r="AJ99">
        <v>0.11</v>
      </c>
      <c r="AK99">
        <v>2</v>
      </c>
      <c r="AL99">
        <v>0.5</v>
      </c>
      <c r="AM99">
        <v>3.47</v>
      </c>
      <c r="AN99">
        <v>0.5</v>
      </c>
    </row>
    <row r="100" spans="1:23" ht="12.75">
      <c r="A100" s="75" t="s">
        <v>379</v>
      </c>
      <c r="B100">
        <v>297</v>
      </c>
      <c r="C100">
        <v>7.62</v>
      </c>
      <c r="D100">
        <v>2.44</v>
      </c>
      <c r="E100">
        <v>-0.05</v>
      </c>
      <c r="F100">
        <f t="shared" si="16"/>
        <v>0</v>
      </c>
      <c r="T100"/>
      <c r="U100" s="26"/>
      <c r="V100" s="31"/>
    </row>
    <row r="101" spans="1:40" ht="12.75">
      <c r="A101" s="8" t="s">
        <v>206</v>
      </c>
      <c r="B101">
        <v>297</v>
      </c>
      <c r="C101">
        <v>7.6</v>
      </c>
      <c r="D101">
        <v>2.42</v>
      </c>
      <c r="E101">
        <v>-0.07</v>
      </c>
      <c r="F101">
        <f t="shared" si="16"/>
        <v>-0.020000000000000004</v>
      </c>
      <c r="T101"/>
      <c r="U101" s="26"/>
      <c r="V101" s="31">
        <f t="shared" si="15"/>
        <v>2.110499987678963</v>
      </c>
      <c r="W101">
        <f t="shared" si="13"/>
        <v>213.88750140494503</v>
      </c>
      <c r="X101">
        <f aca="true" t="shared" si="17" ref="X101:X106">-0.002908389*V101^4+0.098890361*V101^3-1.916707014*V101^2+99.031446317*V101+12.547123733</f>
        <v>213.88750140494503</v>
      </c>
      <c r="Y101">
        <v>6.93</v>
      </c>
      <c r="Z101">
        <v>105.2</v>
      </c>
      <c r="AA101">
        <v>169.46</v>
      </c>
      <c r="AB101">
        <v>1.9</v>
      </c>
      <c r="AC101">
        <v>10</v>
      </c>
      <c r="AD101">
        <v>-1</v>
      </c>
      <c r="AE101">
        <v>-1.25</v>
      </c>
      <c r="AF101">
        <v>-3.66</v>
      </c>
      <c r="AG101">
        <v>-4.33</v>
      </c>
      <c r="AH101">
        <v>-3.75</v>
      </c>
      <c r="AI101">
        <v>42.08</v>
      </c>
      <c r="AJ101">
        <v>0.13</v>
      </c>
      <c r="AK101">
        <v>2</v>
      </c>
      <c r="AL101">
        <v>0.5</v>
      </c>
      <c r="AM101">
        <v>3.47</v>
      </c>
      <c r="AN101">
        <v>0.5</v>
      </c>
    </row>
    <row r="102" spans="1:40" ht="12.75">
      <c r="A102" s="8" t="s">
        <v>169</v>
      </c>
      <c r="B102">
        <v>297</v>
      </c>
      <c r="C102">
        <v>7.5</v>
      </c>
      <c r="D102">
        <v>2.32</v>
      </c>
      <c r="E102">
        <v>-0.16</v>
      </c>
      <c r="F102">
        <f t="shared" si="16"/>
        <v>-0.11</v>
      </c>
      <c r="T102"/>
      <c r="U102" s="26"/>
      <c r="V102" s="31">
        <f t="shared" si="15"/>
        <v>2.412545279810749</v>
      </c>
      <c r="W102">
        <f t="shared" si="13"/>
        <v>241.5991025305381</v>
      </c>
      <c r="X102">
        <f t="shared" si="17"/>
        <v>241.5991025305381</v>
      </c>
      <c r="Y102">
        <v>7.09</v>
      </c>
      <c r="Z102">
        <v>120.3</v>
      </c>
      <c r="AA102">
        <v>178.66</v>
      </c>
      <c r="AB102">
        <v>2.01</v>
      </c>
      <c r="AC102">
        <v>10</v>
      </c>
      <c r="AD102">
        <v>-0.72</v>
      </c>
      <c r="AE102">
        <v>-0.98</v>
      </c>
      <c r="AF102">
        <v>-3.38</v>
      </c>
      <c r="AG102">
        <v>-3.79</v>
      </c>
      <c r="AH102">
        <v>-3.71</v>
      </c>
      <c r="AI102">
        <v>48.1</v>
      </c>
      <c r="AJ102">
        <v>0.15</v>
      </c>
      <c r="AK102">
        <v>2</v>
      </c>
      <c r="AL102">
        <v>0.5</v>
      </c>
      <c r="AM102">
        <v>3.47</v>
      </c>
      <c r="AN102">
        <v>0.5</v>
      </c>
    </row>
    <row r="103" spans="1:40" ht="12.75">
      <c r="A103" s="8" t="s">
        <v>194</v>
      </c>
      <c r="B103">
        <v>297</v>
      </c>
      <c r="C103">
        <v>7.4</v>
      </c>
      <c r="D103">
        <v>2.21</v>
      </c>
      <c r="E103">
        <v>-0.27</v>
      </c>
      <c r="F103">
        <f t="shared" si="16"/>
        <v>-0.22000000000000003</v>
      </c>
      <c r="T103"/>
      <c r="U103" s="26"/>
      <c r="V103" s="31">
        <f t="shared" si="15"/>
        <v>2.653388285158079</v>
      </c>
      <c r="W103">
        <f t="shared" si="13"/>
        <v>263.5247031776987</v>
      </c>
      <c r="X103">
        <f t="shared" si="17"/>
        <v>263.5247031776987</v>
      </c>
      <c r="Y103">
        <v>7.24</v>
      </c>
      <c r="Z103">
        <v>132.4</v>
      </c>
      <c r="AA103">
        <v>186.02</v>
      </c>
      <c r="AB103">
        <v>2.12</v>
      </c>
      <c r="AC103">
        <v>10</v>
      </c>
      <c r="AD103">
        <v>-0.5</v>
      </c>
      <c r="AE103">
        <v>-0.75</v>
      </c>
      <c r="AF103">
        <v>-3.16</v>
      </c>
      <c r="AG103">
        <v>-3.33</v>
      </c>
      <c r="AH103">
        <v>-3.69</v>
      </c>
      <c r="AI103">
        <v>52.91</v>
      </c>
      <c r="AJ103">
        <v>0.16</v>
      </c>
      <c r="AK103">
        <v>2</v>
      </c>
      <c r="AL103">
        <v>0.5</v>
      </c>
      <c r="AM103">
        <v>3.47</v>
      </c>
      <c r="AN103">
        <v>0.5</v>
      </c>
    </row>
    <row r="104" spans="1:40" ht="12.75">
      <c r="A104" s="8" t="s">
        <v>195</v>
      </c>
      <c r="B104">
        <v>297</v>
      </c>
      <c r="C104">
        <v>7.3</v>
      </c>
      <c r="D104">
        <v>2.12</v>
      </c>
      <c r="E104">
        <v>-0.36</v>
      </c>
      <c r="F104">
        <f t="shared" si="16"/>
        <v>-0.31</v>
      </c>
      <c r="T104"/>
      <c r="U104" s="26"/>
      <c r="V104" s="31">
        <f t="shared" si="15"/>
        <v>2.8950543357728984</v>
      </c>
      <c r="W104">
        <f t="shared" si="13"/>
        <v>285.3791827780733</v>
      </c>
      <c r="X104">
        <f t="shared" si="17"/>
        <v>285.3791827780733</v>
      </c>
      <c r="Y104">
        <v>7.43</v>
      </c>
      <c r="Z104">
        <v>144.4</v>
      </c>
      <c r="AA104">
        <v>193.38</v>
      </c>
      <c r="AB104">
        <v>2.27</v>
      </c>
      <c r="AC104">
        <v>10</v>
      </c>
      <c r="AD104">
        <v>-0.24</v>
      </c>
      <c r="AE104">
        <v>-0.5</v>
      </c>
      <c r="AF104">
        <v>-2.9</v>
      </c>
      <c r="AG104">
        <v>-2.83</v>
      </c>
      <c r="AH104">
        <v>-3.66</v>
      </c>
      <c r="AI104">
        <v>57.72</v>
      </c>
      <c r="AJ104">
        <v>0.18</v>
      </c>
      <c r="AK104">
        <v>2</v>
      </c>
      <c r="AL104">
        <v>0.5</v>
      </c>
      <c r="AM104">
        <v>3.47</v>
      </c>
      <c r="AN104">
        <v>0.5</v>
      </c>
    </row>
    <row r="105" spans="1:40" ht="12.75">
      <c r="A105" s="8" t="s">
        <v>290</v>
      </c>
      <c r="B105">
        <v>297</v>
      </c>
      <c r="C105">
        <v>7.2</v>
      </c>
      <c r="D105">
        <v>2</v>
      </c>
      <c r="E105">
        <v>-0.48</v>
      </c>
      <c r="F105">
        <f t="shared" si="16"/>
        <v>-0.43</v>
      </c>
      <c r="T105"/>
      <c r="U105" s="26"/>
      <c r="V105" s="31">
        <f t="shared" si="15"/>
        <v>3.0148148148148146</v>
      </c>
      <c r="W105">
        <f t="shared" si="13"/>
        <v>296.1569614999069</v>
      </c>
      <c r="X105">
        <f t="shared" si="17"/>
        <v>296.1569614999069</v>
      </c>
      <c r="Y105">
        <v>7.54</v>
      </c>
      <c r="Z105">
        <v>150.5</v>
      </c>
      <c r="AA105">
        <v>197.06</v>
      </c>
      <c r="AB105">
        <v>2.36</v>
      </c>
      <c r="AC105">
        <v>10</v>
      </c>
      <c r="AD105">
        <v>-0.1</v>
      </c>
      <c r="AE105">
        <v>-0.36</v>
      </c>
      <c r="AF105">
        <v>-2.76</v>
      </c>
      <c r="AG105">
        <v>-2.54</v>
      </c>
      <c r="AH105">
        <v>-3.65</v>
      </c>
      <c r="AI105">
        <v>60.12</v>
      </c>
      <c r="AJ105">
        <v>0.18</v>
      </c>
      <c r="AK105">
        <v>2</v>
      </c>
      <c r="AL105">
        <v>0.5</v>
      </c>
      <c r="AM105">
        <v>3.47</v>
      </c>
      <c r="AN105">
        <v>0.5</v>
      </c>
    </row>
    <row r="106" spans="1:40" ht="12.75">
      <c r="A106" s="8" t="s">
        <v>291</v>
      </c>
      <c r="B106">
        <v>297</v>
      </c>
      <c r="C106">
        <v>7.11</v>
      </c>
      <c r="D106">
        <v>1.93</v>
      </c>
      <c r="E106">
        <v>-0.55</v>
      </c>
      <c r="F106">
        <f t="shared" si="16"/>
        <v>-0.5</v>
      </c>
      <c r="T106"/>
      <c r="U106" s="26"/>
      <c r="V106" s="31">
        <f t="shared" si="15"/>
        <v>3.05074295852739</v>
      </c>
      <c r="W106">
        <f t="shared" si="13"/>
        <v>299.383659483556</v>
      </c>
      <c r="X106">
        <f t="shared" si="17"/>
        <v>299.383659483556</v>
      </c>
      <c r="Y106">
        <v>7.58</v>
      </c>
      <c r="Z106">
        <v>152.3</v>
      </c>
      <c r="AA106">
        <v>198.16</v>
      </c>
      <c r="AB106">
        <v>2.4</v>
      </c>
      <c r="AC106">
        <v>10</v>
      </c>
      <c r="AD106">
        <v>-0.05</v>
      </c>
      <c r="AE106">
        <v>-0.31</v>
      </c>
      <c r="AF106">
        <v>-2.71</v>
      </c>
      <c r="AG106">
        <v>-2.44</v>
      </c>
      <c r="AH106">
        <v>-3.65</v>
      </c>
      <c r="AI106">
        <v>60.84</v>
      </c>
      <c r="AJ106">
        <v>0.18</v>
      </c>
      <c r="AK106">
        <v>2</v>
      </c>
      <c r="AL106">
        <v>0.5</v>
      </c>
      <c r="AM106">
        <v>3.47</v>
      </c>
      <c r="AN106">
        <v>0.5</v>
      </c>
    </row>
    <row r="107" spans="1:22" ht="12.75">
      <c r="A107" s="8" t="s">
        <v>292</v>
      </c>
      <c r="B107">
        <v>297</v>
      </c>
      <c r="C107">
        <v>6.68</v>
      </c>
      <c r="D107">
        <v>1.5</v>
      </c>
      <c r="E107">
        <v>-0.98</v>
      </c>
      <c r="F107">
        <f t="shared" si="16"/>
        <v>-0.9299999999999999</v>
      </c>
      <c r="T107"/>
      <c r="U107" s="26"/>
      <c r="V107" s="31"/>
    </row>
    <row r="108" spans="1:22" ht="12.75">
      <c r="A108" s="8" t="s">
        <v>293</v>
      </c>
      <c r="B108">
        <v>297</v>
      </c>
      <c r="C108">
        <v>6.61</v>
      </c>
      <c r="D108">
        <v>1.43</v>
      </c>
      <c r="E108">
        <v>-1.05</v>
      </c>
      <c r="F108">
        <f t="shared" si="16"/>
        <v>-1</v>
      </c>
      <c r="T108"/>
      <c r="U108" s="26"/>
      <c r="V108" s="31"/>
    </row>
    <row r="109" spans="1:22" ht="12.75">
      <c r="A109" s="8" t="s">
        <v>288</v>
      </c>
      <c r="B109">
        <v>297</v>
      </c>
      <c r="C109">
        <v>6.19</v>
      </c>
      <c r="D109">
        <v>1</v>
      </c>
      <c r="E109">
        <v>-1.48</v>
      </c>
      <c r="F109">
        <f t="shared" si="16"/>
        <v>-1.43</v>
      </c>
      <c r="T109"/>
      <c r="U109" s="26"/>
      <c r="V109" s="31"/>
    </row>
    <row r="110" spans="20:22" ht="12.75">
      <c r="T110"/>
      <c r="U110" s="26"/>
      <c r="V110" s="31"/>
    </row>
    <row r="111" spans="1:25" ht="12.75">
      <c r="A111" t="s">
        <v>135</v>
      </c>
      <c r="B111">
        <v>364</v>
      </c>
      <c r="C111">
        <v>8.7</v>
      </c>
      <c r="D111">
        <v>3.42</v>
      </c>
      <c r="E111">
        <v>1.18</v>
      </c>
      <c r="F111">
        <f t="shared" si="16"/>
        <v>1.23</v>
      </c>
      <c r="T111"/>
      <c r="U111" s="26"/>
      <c r="V111" s="31">
        <f aca="true" t="shared" si="18" ref="V111:V138">(AI111/40.08+AJ111/24.3)*2</f>
        <v>0</v>
      </c>
      <c r="X111">
        <f t="shared" si="14"/>
        <v>12.547123733</v>
      </c>
      <c r="Y111" t="s">
        <v>359</v>
      </c>
    </row>
    <row r="112" spans="1:40" ht="12.75">
      <c r="A112" t="s">
        <v>136</v>
      </c>
      <c r="B112">
        <v>364</v>
      </c>
      <c r="C112">
        <v>8.6</v>
      </c>
      <c r="D112">
        <v>3.32</v>
      </c>
      <c r="E112">
        <v>1.09</v>
      </c>
      <c r="F112">
        <f t="shared" si="16"/>
        <v>1.1400000000000001</v>
      </c>
      <c r="T112"/>
      <c r="U112" s="26"/>
      <c r="V112" s="31" t="e">
        <f t="shared" si="18"/>
        <v>#VALUE!</v>
      </c>
      <c r="X112" t="e">
        <f t="shared" si="14"/>
        <v>#VALUE!</v>
      </c>
      <c r="Y112" t="s">
        <v>339</v>
      </c>
      <c r="Z112" t="s">
        <v>340</v>
      </c>
      <c r="AA112" t="s">
        <v>341</v>
      </c>
      <c r="AB112" t="s">
        <v>342</v>
      </c>
      <c r="AC112" t="s">
        <v>343</v>
      </c>
      <c r="AD112" t="s">
        <v>344</v>
      </c>
      <c r="AE112" t="s">
        <v>345</v>
      </c>
      <c r="AF112" t="s">
        <v>346</v>
      </c>
      <c r="AG112" t="s">
        <v>347</v>
      </c>
      <c r="AH112" t="s">
        <v>348</v>
      </c>
      <c r="AI112" t="s">
        <v>349</v>
      </c>
      <c r="AJ112" t="s">
        <v>350</v>
      </c>
      <c r="AK112" t="s">
        <v>351</v>
      </c>
      <c r="AL112" t="s">
        <v>352</v>
      </c>
      <c r="AM112" t="s">
        <v>353</v>
      </c>
      <c r="AN112" t="s">
        <v>354</v>
      </c>
    </row>
    <row r="113" spans="1:40" ht="12.75">
      <c r="A113" t="s">
        <v>137</v>
      </c>
      <c r="B113">
        <v>364</v>
      </c>
      <c r="C113">
        <v>8.5</v>
      </c>
      <c r="D113">
        <v>3.22</v>
      </c>
      <c r="E113">
        <v>0.99</v>
      </c>
      <c r="F113">
        <f t="shared" si="16"/>
        <v>1.04</v>
      </c>
      <c r="T113"/>
      <c r="U113" s="26"/>
      <c r="V113" s="31">
        <f t="shared" si="18"/>
        <v>0</v>
      </c>
      <c r="W113">
        <v>11</v>
      </c>
      <c r="X113">
        <f t="shared" si="14"/>
        <v>12.547123733</v>
      </c>
      <c r="Y113">
        <v>4.32</v>
      </c>
      <c r="Z113">
        <v>-0.4</v>
      </c>
      <c r="AA113">
        <v>330.84</v>
      </c>
      <c r="AB113">
        <v>1</v>
      </c>
      <c r="AC113">
        <v>10</v>
      </c>
      <c r="AD113">
        <v>-100</v>
      </c>
      <c r="AE113">
        <v>-100</v>
      </c>
      <c r="AF113">
        <v>-100</v>
      </c>
      <c r="AG113">
        <v>-100</v>
      </c>
      <c r="AH113">
        <v>-100</v>
      </c>
      <c r="AI113">
        <v>0</v>
      </c>
      <c r="AJ113">
        <v>0</v>
      </c>
      <c r="AK113">
        <v>2</v>
      </c>
      <c r="AL113">
        <v>0.5</v>
      </c>
      <c r="AM113">
        <v>3.47</v>
      </c>
      <c r="AN113">
        <v>0.5</v>
      </c>
    </row>
    <row r="114" spans="1:40" ht="12.75">
      <c r="A114" t="s">
        <v>138</v>
      </c>
      <c r="B114">
        <v>364</v>
      </c>
      <c r="C114">
        <v>8.4</v>
      </c>
      <c r="D114">
        <v>3.11</v>
      </c>
      <c r="E114">
        <v>0.9</v>
      </c>
      <c r="F114">
        <f t="shared" si="16"/>
        <v>0.9500000000000001</v>
      </c>
      <c r="T114"/>
      <c r="U114" s="26"/>
      <c r="V114" s="31">
        <f t="shared" si="18"/>
        <v>0.9650181119242995</v>
      </c>
      <c r="W114">
        <f>X114</f>
        <v>106.41565936173654</v>
      </c>
      <c r="X114">
        <f t="shared" si="14"/>
        <v>106.41565936173654</v>
      </c>
      <c r="Y114">
        <v>5.73</v>
      </c>
      <c r="Z114">
        <v>47.9</v>
      </c>
      <c r="AA114">
        <v>360.27</v>
      </c>
      <c r="AB114">
        <v>1.03</v>
      </c>
      <c r="AC114">
        <v>10</v>
      </c>
      <c r="AD114">
        <v>-2.83</v>
      </c>
      <c r="AE114">
        <v>-3.09</v>
      </c>
      <c r="AF114">
        <v>-5.49</v>
      </c>
      <c r="AG114">
        <v>-8</v>
      </c>
      <c r="AH114">
        <v>-4.01</v>
      </c>
      <c r="AI114">
        <v>19.24</v>
      </c>
      <c r="AJ114">
        <v>0.06</v>
      </c>
      <c r="AK114">
        <v>2</v>
      </c>
      <c r="AL114">
        <v>0.5</v>
      </c>
      <c r="AM114">
        <v>3.47</v>
      </c>
      <c r="AN114">
        <v>0.5</v>
      </c>
    </row>
    <row r="115" spans="1:40" ht="12.75">
      <c r="A115" t="s">
        <v>139</v>
      </c>
      <c r="B115">
        <v>364</v>
      </c>
      <c r="C115">
        <v>8.3</v>
      </c>
      <c r="D115">
        <v>3.01</v>
      </c>
      <c r="E115">
        <v>0.8</v>
      </c>
      <c r="F115">
        <f t="shared" si="16"/>
        <v>0.8500000000000001</v>
      </c>
      <c r="T115"/>
      <c r="U115" s="26"/>
      <c r="V115" s="31">
        <f t="shared" si="18"/>
        <v>1.4475271678864492</v>
      </c>
      <c r="W115">
        <f aca="true" t="shared" si="19" ref="W115:W138">X115</f>
        <v>152.16886039991354</v>
      </c>
      <c r="X115">
        <f t="shared" si="14"/>
        <v>152.16886039991354</v>
      </c>
      <c r="Y115">
        <v>5.93</v>
      </c>
      <c r="Z115">
        <v>72</v>
      </c>
      <c r="AA115">
        <v>374.99</v>
      </c>
      <c r="AB115">
        <v>1.06</v>
      </c>
      <c r="AC115">
        <v>10</v>
      </c>
      <c r="AD115">
        <v>-2.3</v>
      </c>
      <c r="AE115">
        <v>-2.56</v>
      </c>
      <c r="AF115">
        <v>-4.96</v>
      </c>
      <c r="AG115">
        <v>-6.95</v>
      </c>
      <c r="AH115">
        <v>-3.87</v>
      </c>
      <c r="AI115">
        <v>28.86</v>
      </c>
      <c r="AJ115">
        <v>0.09</v>
      </c>
      <c r="AK115">
        <v>2</v>
      </c>
      <c r="AL115">
        <v>0.5</v>
      </c>
      <c r="AM115">
        <v>3.47</v>
      </c>
      <c r="AN115">
        <v>0.5</v>
      </c>
    </row>
    <row r="116" spans="1:40" ht="12.75">
      <c r="A116" t="s">
        <v>140</v>
      </c>
      <c r="B116">
        <v>364</v>
      </c>
      <c r="C116">
        <v>8.2</v>
      </c>
      <c r="D116">
        <v>2.91</v>
      </c>
      <c r="E116">
        <v>0.7</v>
      </c>
      <c r="F116">
        <f t="shared" si="16"/>
        <v>0.75</v>
      </c>
      <c r="T116"/>
      <c r="U116" s="26"/>
      <c r="V116" s="31">
        <f t="shared" si="18"/>
        <v>1.5672876469283656</v>
      </c>
      <c r="W116">
        <f t="shared" si="19"/>
        <v>163.41287146825283</v>
      </c>
      <c r="X116">
        <f t="shared" si="14"/>
        <v>163.41287146825283</v>
      </c>
      <c r="Y116">
        <v>5.97</v>
      </c>
      <c r="Z116">
        <v>78</v>
      </c>
      <c r="AA116">
        <v>378.67</v>
      </c>
      <c r="AB116">
        <v>1.06</v>
      </c>
      <c r="AC116">
        <v>10</v>
      </c>
      <c r="AD116">
        <v>-2.2</v>
      </c>
      <c r="AE116">
        <v>-2.46</v>
      </c>
      <c r="AF116">
        <v>-4.86</v>
      </c>
      <c r="AG116">
        <v>-6.74</v>
      </c>
      <c r="AH116">
        <v>-3.85</v>
      </c>
      <c r="AI116">
        <v>31.26</v>
      </c>
      <c r="AJ116">
        <v>0.09</v>
      </c>
      <c r="AK116">
        <v>2</v>
      </c>
      <c r="AL116">
        <v>0.5</v>
      </c>
      <c r="AM116">
        <v>3.47</v>
      </c>
      <c r="AN116">
        <v>0.5</v>
      </c>
    </row>
    <row r="117" spans="1:40" ht="12.75">
      <c r="A117" t="s">
        <v>141</v>
      </c>
      <c r="B117">
        <v>364</v>
      </c>
      <c r="C117">
        <v>8.1</v>
      </c>
      <c r="D117">
        <v>2.81</v>
      </c>
      <c r="E117">
        <v>0.6</v>
      </c>
      <c r="F117">
        <f t="shared" si="16"/>
        <v>0.65</v>
      </c>
      <c r="T117"/>
      <c r="U117" s="26"/>
      <c r="V117" s="31">
        <f t="shared" si="18"/>
        <v>1.8089536975431852</v>
      </c>
      <c r="W117">
        <f t="shared" si="19"/>
        <v>185.9725932789066</v>
      </c>
      <c r="X117">
        <f t="shared" si="14"/>
        <v>185.9725932789066</v>
      </c>
      <c r="Y117">
        <v>6.04</v>
      </c>
      <c r="Z117">
        <v>90.1</v>
      </c>
      <c r="AA117">
        <v>386.03</v>
      </c>
      <c r="AB117">
        <v>1.07</v>
      </c>
      <c r="AC117">
        <v>10</v>
      </c>
      <c r="AD117">
        <v>-2.01</v>
      </c>
      <c r="AE117">
        <v>-2.27</v>
      </c>
      <c r="AF117">
        <v>-4.67</v>
      </c>
      <c r="AG117">
        <v>-6.36</v>
      </c>
      <c r="AH117">
        <v>-3.8</v>
      </c>
      <c r="AI117">
        <v>36.07</v>
      </c>
      <c r="AJ117">
        <v>0.11</v>
      </c>
      <c r="AK117">
        <v>2</v>
      </c>
      <c r="AL117">
        <v>0.5</v>
      </c>
      <c r="AM117">
        <v>3.47</v>
      </c>
      <c r="AN117">
        <v>0.5</v>
      </c>
    </row>
    <row r="118" spans="1:40" ht="12.75">
      <c r="A118" t="s">
        <v>142</v>
      </c>
      <c r="B118">
        <v>364</v>
      </c>
      <c r="C118">
        <v>8</v>
      </c>
      <c r="D118">
        <v>2.72</v>
      </c>
      <c r="E118">
        <v>0.5</v>
      </c>
      <c r="F118">
        <f t="shared" si="16"/>
        <v>0.55</v>
      </c>
      <c r="T118"/>
      <c r="U118" s="26"/>
      <c r="V118" s="31">
        <f t="shared" si="18"/>
        <v>1.930036223848599</v>
      </c>
      <c r="W118">
        <f t="shared" si="19"/>
        <v>197.2122043588009</v>
      </c>
      <c r="X118">
        <f t="shared" si="14"/>
        <v>197.2122043588009</v>
      </c>
      <c r="Y118">
        <v>6.07</v>
      </c>
      <c r="Z118">
        <v>96.1</v>
      </c>
      <c r="AA118">
        <v>389.71</v>
      </c>
      <c r="AB118">
        <v>1.08</v>
      </c>
      <c r="AC118">
        <v>10</v>
      </c>
      <c r="AD118">
        <v>-1.92</v>
      </c>
      <c r="AE118">
        <v>-2.18</v>
      </c>
      <c r="AF118">
        <v>-4.59</v>
      </c>
      <c r="AG118">
        <v>-6.19</v>
      </c>
      <c r="AH118">
        <v>-3.78</v>
      </c>
      <c r="AI118">
        <v>38.48</v>
      </c>
      <c r="AJ118">
        <v>0.12</v>
      </c>
      <c r="AK118">
        <v>2</v>
      </c>
      <c r="AL118">
        <v>0.5</v>
      </c>
      <c r="AM118">
        <v>3.47</v>
      </c>
      <c r="AN118">
        <v>0.5</v>
      </c>
    </row>
    <row r="119" spans="1:40" ht="12.75">
      <c r="A119" t="s">
        <v>143</v>
      </c>
      <c r="B119">
        <v>364</v>
      </c>
      <c r="C119">
        <v>7.9</v>
      </c>
      <c r="D119">
        <v>2.62</v>
      </c>
      <c r="E119">
        <v>0.4</v>
      </c>
      <c r="F119">
        <f t="shared" si="16"/>
        <v>0.45</v>
      </c>
      <c r="T119"/>
      <c r="U119" s="26"/>
      <c r="V119" s="31">
        <f t="shared" si="18"/>
        <v>2.0497967028905153</v>
      </c>
      <c r="W119">
        <f t="shared" si="19"/>
        <v>208.28844686031275</v>
      </c>
      <c r="X119">
        <f t="shared" si="14"/>
        <v>208.28844686031275</v>
      </c>
      <c r="Y119">
        <v>6.1</v>
      </c>
      <c r="Z119">
        <v>102.2</v>
      </c>
      <c r="AA119">
        <v>393.39</v>
      </c>
      <c r="AB119">
        <v>1.08</v>
      </c>
      <c r="AC119">
        <v>10</v>
      </c>
      <c r="AD119">
        <v>-1.84</v>
      </c>
      <c r="AE119">
        <v>-2.1</v>
      </c>
      <c r="AF119">
        <v>-4.5</v>
      </c>
      <c r="AG119">
        <v>-6.03</v>
      </c>
      <c r="AH119">
        <v>-3.76</v>
      </c>
      <c r="AI119">
        <v>40.88</v>
      </c>
      <c r="AJ119">
        <v>0.12</v>
      </c>
      <c r="AK119">
        <v>2</v>
      </c>
      <c r="AL119">
        <v>0.5</v>
      </c>
      <c r="AM119">
        <v>3.47</v>
      </c>
      <c r="AN119">
        <v>0.5</v>
      </c>
    </row>
    <row r="120" spans="1:40" ht="12.75">
      <c r="A120" t="s">
        <v>144</v>
      </c>
      <c r="B120">
        <v>364</v>
      </c>
      <c r="C120">
        <v>7.8</v>
      </c>
      <c r="D120">
        <v>2.52</v>
      </c>
      <c r="E120">
        <v>0.3</v>
      </c>
      <c r="F120">
        <f t="shared" si="16"/>
        <v>0.35</v>
      </c>
      <c r="T120"/>
      <c r="U120" s="26"/>
      <c r="V120" s="31">
        <f t="shared" si="18"/>
        <v>2.170879229195929</v>
      </c>
      <c r="W120">
        <f t="shared" si="19"/>
        <v>219.44666356043385</v>
      </c>
      <c r="X120">
        <f t="shared" si="14"/>
        <v>219.44666356043385</v>
      </c>
      <c r="Y120">
        <v>6.13</v>
      </c>
      <c r="Z120">
        <v>108.2</v>
      </c>
      <c r="AA120">
        <v>397.07</v>
      </c>
      <c r="AB120">
        <v>1.09</v>
      </c>
      <c r="AC120">
        <v>10</v>
      </c>
      <c r="AD120">
        <v>-1.77</v>
      </c>
      <c r="AE120">
        <v>-2.03</v>
      </c>
      <c r="AF120">
        <v>-4.43</v>
      </c>
      <c r="AG120">
        <v>-5.88</v>
      </c>
      <c r="AH120">
        <v>-3.74</v>
      </c>
      <c r="AI120">
        <v>43.29</v>
      </c>
      <c r="AJ120">
        <v>0.13</v>
      </c>
      <c r="AK120">
        <v>2</v>
      </c>
      <c r="AL120">
        <v>0.5</v>
      </c>
      <c r="AM120">
        <v>3.47</v>
      </c>
      <c r="AN120">
        <v>0.5</v>
      </c>
    </row>
    <row r="121" spans="1:40" ht="12.75">
      <c r="A121" t="s">
        <v>145</v>
      </c>
      <c r="B121">
        <v>364</v>
      </c>
      <c r="C121">
        <v>7.7</v>
      </c>
      <c r="D121">
        <v>2.43</v>
      </c>
      <c r="E121">
        <v>0.2</v>
      </c>
      <c r="F121">
        <f t="shared" si="16"/>
        <v>0.25</v>
      </c>
      <c r="T121"/>
      <c r="U121" s="26"/>
      <c r="V121" s="31">
        <f t="shared" si="18"/>
        <v>2.412545279810749</v>
      </c>
      <c r="W121">
        <f t="shared" si="19"/>
        <v>241.5991025305381</v>
      </c>
      <c r="X121">
        <f t="shared" si="14"/>
        <v>241.5991025305381</v>
      </c>
      <c r="Y121">
        <v>6.19</v>
      </c>
      <c r="Z121">
        <v>120.3</v>
      </c>
      <c r="AA121">
        <v>404.43</v>
      </c>
      <c r="AB121">
        <v>1.1</v>
      </c>
      <c r="AC121">
        <v>10</v>
      </c>
      <c r="AD121">
        <v>-1.63</v>
      </c>
      <c r="AE121">
        <v>-1.88</v>
      </c>
      <c r="AF121">
        <v>-4.29</v>
      </c>
      <c r="AG121">
        <v>-5.59</v>
      </c>
      <c r="AH121">
        <v>-3.71</v>
      </c>
      <c r="AI121">
        <v>48.1</v>
      </c>
      <c r="AJ121">
        <v>0.15</v>
      </c>
      <c r="AK121">
        <v>2</v>
      </c>
      <c r="AL121">
        <v>0.5</v>
      </c>
      <c r="AM121">
        <v>3.47</v>
      </c>
      <c r="AN121">
        <v>0.5</v>
      </c>
    </row>
    <row r="122" spans="1:40" ht="12.75">
      <c r="A122" s="8" t="s">
        <v>171</v>
      </c>
      <c r="B122">
        <v>364</v>
      </c>
      <c r="C122">
        <v>7.6</v>
      </c>
      <c r="D122">
        <v>2.33</v>
      </c>
      <c r="E122">
        <v>0.1</v>
      </c>
      <c r="F122">
        <f t="shared" si="16"/>
        <v>0.15000000000000002</v>
      </c>
      <c r="T122"/>
      <c r="U122" s="26"/>
      <c r="V122" s="31">
        <f t="shared" si="18"/>
        <v>2.653388285158079</v>
      </c>
      <c r="W122">
        <f t="shared" si="19"/>
        <v>263.5247031776987</v>
      </c>
      <c r="X122">
        <f t="shared" si="14"/>
        <v>263.5247031776987</v>
      </c>
      <c r="Y122">
        <v>6.24</v>
      </c>
      <c r="Z122">
        <v>132.4</v>
      </c>
      <c r="AA122">
        <v>411.79</v>
      </c>
      <c r="AB122">
        <v>1.12</v>
      </c>
      <c r="AC122">
        <v>10</v>
      </c>
      <c r="AD122">
        <v>-1.5</v>
      </c>
      <c r="AE122">
        <v>-1.76</v>
      </c>
      <c r="AF122">
        <v>-4.16</v>
      </c>
      <c r="AG122">
        <v>-5.34</v>
      </c>
      <c r="AH122">
        <v>-3.68</v>
      </c>
      <c r="AI122">
        <v>52.91</v>
      </c>
      <c r="AJ122">
        <v>0.16</v>
      </c>
      <c r="AK122">
        <v>2</v>
      </c>
      <c r="AL122">
        <v>0.5</v>
      </c>
      <c r="AM122">
        <v>3.47</v>
      </c>
      <c r="AN122">
        <v>0.5</v>
      </c>
    </row>
    <row r="123" spans="1:40" ht="12.75">
      <c r="A123" s="8" t="s">
        <v>298</v>
      </c>
      <c r="B123">
        <v>364</v>
      </c>
      <c r="C123">
        <v>7.45</v>
      </c>
      <c r="D123">
        <v>2.17</v>
      </c>
      <c r="E123">
        <v>-0.05</v>
      </c>
      <c r="F123">
        <f t="shared" si="16"/>
        <v>0</v>
      </c>
      <c r="T123"/>
      <c r="U123" s="26"/>
      <c r="V123" s="31">
        <f t="shared" si="18"/>
        <v>3.0148148148148146</v>
      </c>
      <c r="W123">
        <f t="shared" si="19"/>
        <v>296.1569614999069</v>
      </c>
      <c r="X123">
        <f t="shared" si="14"/>
        <v>296.1569614999069</v>
      </c>
      <c r="Y123">
        <v>6.31</v>
      </c>
      <c r="Z123">
        <v>150.5</v>
      </c>
      <c r="AA123">
        <v>422.82</v>
      </c>
      <c r="AB123">
        <v>1.13</v>
      </c>
      <c r="AC123">
        <v>10</v>
      </c>
      <c r="AD123">
        <v>-1.32</v>
      </c>
      <c r="AE123">
        <v>-1.58</v>
      </c>
      <c r="AF123">
        <v>-3.98</v>
      </c>
      <c r="AG123">
        <v>-4.99</v>
      </c>
      <c r="AH123">
        <v>-3.65</v>
      </c>
      <c r="AI123">
        <v>60.12</v>
      </c>
      <c r="AJ123">
        <v>0.18</v>
      </c>
      <c r="AK123">
        <v>2</v>
      </c>
      <c r="AL123">
        <v>0.5</v>
      </c>
      <c r="AM123">
        <v>3.47</v>
      </c>
      <c r="AN123">
        <v>0.5</v>
      </c>
    </row>
    <row r="124" spans="1:40" ht="12.75">
      <c r="A124" s="8" t="s">
        <v>294</v>
      </c>
      <c r="B124">
        <v>364</v>
      </c>
      <c r="C124">
        <v>7.28</v>
      </c>
      <c r="D124">
        <v>2</v>
      </c>
      <c r="E124">
        <v>-0.22</v>
      </c>
      <c r="F124">
        <f t="shared" si="16"/>
        <v>-0.16999999999999998</v>
      </c>
      <c r="T124"/>
      <c r="U124" s="26"/>
      <c r="V124" s="31">
        <f t="shared" si="18"/>
        <v>3.3762413444715507</v>
      </c>
      <c r="W124">
        <f t="shared" si="19"/>
        <v>328.4805989424508</v>
      </c>
      <c r="X124">
        <f t="shared" si="14"/>
        <v>328.4805989424508</v>
      </c>
      <c r="Y124">
        <v>6.38</v>
      </c>
      <c r="Z124">
        <v>168.6</v>
      </c>
      <c r="AA124">
        <v>433.86</v>
      </c>
      <c r="AB124">
        <v>1.16</v>
      </c>
      <c r="AC124">
        <v>10</v>
      </c>
      <c r="AD124">
        <v>-1.16</v>
      </c>
      <c r="AE124">
        <v>-1.42</v>
      </c>
      <c r="AF124">
        <v>-3.83</v>
      </c>
      <c r="AG124">
        <v>-4.67</v>
      </c>
      <c r="AH124">
        <v>-3.62</v>
      </c>
      <c r="AI124">
        <v>67.33</v>
      </c>
      <c r="AJ124">
        <v>0.2</v>
      </c>
      <c r="AK124">
        <v>2</v>
      </c>
      <c r="AL124">
        <v>0.5</v>
      </c>
      <c r="AM124">
        <v>3.47</v>
      </c>
      <c r="AN124">
        <v>0.5</v>
      </c>
    </row>
    <row r="125" spans="1:40" ht="12.75">
      <c r="A125" s="8" t="s">
        <v>296</v>
      </c>
      <c r="B125">
        <v>364</v>
      </c>
      <c r="C125">
        <v>6.95</v>
      </c>
      <c r="D125">
        <v>1.67</v>
      </c>
      <c r="E125">
        <v>-0.55</v>
      </c>
      <c r="F125">
        <f t="shared" si="16"/>
        <v>-0.5</v>
      </c>
      <c r="T125"/>
      <c r="U125" s="26"/>
      <c r="V125" s="31">
        <f t="shared" si="18"/>
        <v>3.6179073950863705</v>
      </c>
      <c r="W125">
        <f t="shared" si="19"/>
        <v>349.9301939049922</v>
      </c>
      <c r="X125">
        <f t="shared" si="14"/>
        <v>349.9301939049922</v>
      </c>
      <c r="Y125">
        <v>6.43</v>
      </c>
      <c r="Z125">
        <v>180.6</v>
      </c>
      <c r="AA125">
        <v>441.22</v>
      </c>
      <c r="AB125">
        <v>1.17</v>
      </c>
      <c r="AC125">
        <v>10</v>
      </c>
      <c r="AD125">
        <v>-1.07</v>
      </c>
      <c r="AE125">
        <v>-1.32</v>
      </c>
      <c r="AF125">
        <v>-3.73</v>
      </c>
      <c r="AG125">
        <v>-4.48</v>
      </c>
      <c r="AH125">
        <v>-3.6</v>
      </c>
      <c r="AI125">
        <v>72.14</v>
      </c>
      <c r="AJ125">
        <v>0.22</v>
      </c>
      <c r="AK125">
        <v>2</v>
      </c>
      <c r="AL125">
        <v>0.5</v>
      </c>
      <c r="AM125">
        <v>3.47</v>
      </c>
      <c r="AN125">
        <v>0.5</v>
      </c>
    </row>
    <row r="126" spans="1:40" ht="12.75">
      <c r="A126" s="8" t="s">
        <v>282</v>
      </c>
      <c r="B126">
        <v>364</v>
      </c>
      <c r="C126">
        <v>6.78</v>
      </c>
      <c r="D126">
        <v>1.5</v>
      </c>
      <c r="E126">
        <v>-0.72</v>
      </c>
      <c r="F126">
        <f t="shared" si="16"/>
        <v>-0.6699999999999999</v>
      </c>
      <c r="T126"/>
      <c r="U126" s="26"/>
      <c r="V126" s="31">
        <f t="shared" si="18"/>
        <v>3.858750400433701</v>
      </c>
      <c r="W126">
        <f t="shared" si="19"/>
        <v>371.1821609810236</v>
      </c>
      <c r="X126">
        <f t="shared" si="14"/>
        <v>371.1821609810236</v>
      </c>
      <c r="Y126">
        <v>6.47</v>
      </c>
      <c r="Z126">
        <v>192.7</v>
      </c>
      <c r="AA126">
        <v>448.58</v>
      </c>
      <c r="AB126">
        <v>1.18</v>
      </c>
      <c r="AC126">
        <v>10</v>
      </c>
      <c r="AD126">
        <v>-0.97</v>
      </c>
      <c r="AE126">
        <v>-1.23</v>
      </c>
      <c r="AF126">
        <v>-3.64</v>
      </c>
      <c r="AG126">
        <v>-4.29</v>
      </c>
      <c r="AH126">
        <v>-3.58</v>
      </c>
      <c r="AI126">
        <v>76.95</v>
      </c>
      <c r="AJ126">
        <v>0.23</v>
      </c>
      <c r="AK126">
        <v>2</v>
      </c>
      <c r="AL126">
        <v>0.5</v>
      </c>
      <c r="AM126">
        <v>3.47</v>
      </c>
      <c r="AN126">
        <v>0.5</v>
      </c>
    </row>
    <row r="127" spans="1:40" ht="12.75">
      <c r="A127" s="8" t="s">
        <v>297</v>
      </c>
      <c r="B127">
        <v>364</v>
      </c>
      <c r="C127">
        <v>6.45</v>
      </c>
      <c r="D127">
        <v>1.17</v>
      </c>
      <c r="E127">
        <v>-1.05</v>
      </c>
      <c r="F127">
        <f t="shared" si="16"/>
        <v>-1</v>
      </c>
      <c r="T127"/>
      <c r="U127" s="26"/>
      <c r="V127" s="31">
        <f t="shared" si="18"/>
        <v>4.10041645104852</v>
      </c>
      <c r="W127">
        <f t="shared" si="19"/>
        <v>392.386429243663</v>
      </c>
      <c r="X127">
        <f t="shared" si="14"/>
        <v>392.386429243663</v>
      </c>
      <c r="Y127">
        <v>6.51</v>
      </c>
      <c r="Z127">
        <v>204.8</v>
      </c>
      <c r="AA127">
        <v>455.94</v>
      </c>
      <c r="AB127">
        <v>1.2</v>
      </c>
      <c r="AC127">
        <v>10</v>
      </c>
      <c r="AD127">
        <v>-0.89</v>
      </c>
      <c r="AE127">
        <v>-1.14</v>
      </c>
      <c r="AF127">
        <v>-3.55</v>
      </c>
      <c r="AG127">
        <v>-4.12</v>
      </c>
      <c r="AH127">
        <v>-3.57</v>
      </c>
      <c r="AI127">
        <v>81.76</v>
      </c>
      <c r="AJ127">
        <v>0.25</v>
      </c>
      <c r="AK127">
        <v>2</v>
      </c>
      <c r="AL127">
        <v>0.5</v>
      </c>
      <c r="AM127">
        <v>3.47</v>
      </c>
      <c r="AN127">
        <v>0.5</v>
      </c>
    </row>
    <row r="128" spans="1:40" ht="12.75">
      <c r="A128" s="8" t="s">
        <v>288</v>
      </c>
      <c r="B128">
        <v>364</v>
      </c>
      <c r="C128">
        <v>6.28</v>
      </c>
      <c r="D128">
        <v>1</v>
      </c>
      <c r="E128">
        <v>-1.22</v>
      </c>
      <c r="F128">
        <f t="shared" si="16"/>
        <v>-1.17</v>
      </c>
      <c r="T128"/>
      <c r="U128" s="26"/>
      <c r="V128" s="31">
        <f t="shared" si="18"/>
        <v>4.462341982701265</v>
      </c>
      <c r="W128">
        <f t="shared" si="19"/>
        <v>423.9267236938266</v>
      </c>
      <c r="X128">
        <f t="shared" si="14"/>
        <v>423.9267236938266</v>
      </c>
      <c r="Y128">
        <v>6.57</v>
      </c>
      <c r="Z128">
        <v>222.9</v>
      </c>
      <c r="AA128">
        <v>466.98</v>
      </c>
      <c r="AB128">
        <v>1.22</v>
      </c>
      <c r="AC128">
        <v>10</v>
      </c>
      <c r="AD128">
        <v>-0.76</v>
      </c>
      <c r="AE128">
        <v>-1.02</v>
      </c>
      <c r="AF128">
        <v>-3.42</v>
      </c>
      <c r="AG128">
        <v>-3.87</v>
      </c>
      <c r="AH128">
        <v>-3.54</v>
      </c>
      <c r="AI128">
        <v>88.98</v>
      </c>
      <c r="AJ128">
        <v>0.27</v>
      </c>
      <c r="AK128">
        <v>2</v>
      </c>
      <c r="AL128">
        <v>0.5</v>
      </c>
      <c r="AM128">
        <v>3.47</v>
      </c>
      <c r="AN128">
        <v>0.5</v>
      </c>
    </row>
    <row r="129" spans="1:40" ht="12.75">
      <c r="A129" s="8"/>
      <c r="T129"/>
      <c r="U129" s="26"/>
      <c r="V129" s="31">
        <f t="shared" si="18"/>
        <v>4.823768512358</v>
      </c>
      <c r="W129">
        <f t="shared" si="19"/>
        <v>455.17758571107385</v>
      </c>
      <c r="X129">
        <f t="shared" si="14"/>
        <v>455.17758571107385</v>
      </c>
      <c r="Y129">
        <v>6.62</v>
      </c>
      <c r="Z129">
        <v>241</v>
      </c>
      <c r="AA129">
        <v>478.01</v>
      </c>
      <c r="AB129">
        <v>1.25</v>
      </c>
      <c r="AC129">
        <v>10</v>
      </c>
      <c r="AD129">
        <v>-0.64</v>
      </c>
      <c r="AE129">
        <v>-0.9</v>
      </c>
      <c r="AF129">
        <v>-3.31</v>
      </c>
      <c r="AG129">
        <v>-3.63</v>
      </c>
      <c r="AH129">
        <v>-3.52</v>
      </c>
      <c r="AI129">
        <v>96.19</v>
      </c>
      <c r="AJ129">
        <v>0.29</v>
      </c>
      <c r="AK129">
        <v>2</v>
      </c>
      <c r="AL129">
        <v>0.5</v>
      </c>
      <c r="AM129">
        <v>3.47</v>
      </c>
      <c r="AN129">
        <v>0.5</v>
      </c>
    </row>
    <row r="130" spans="1:40" ht="12.75">
      <c r="A130" s="8"/>
      <c r="T130"/>
      <c r="U130" s="26"/>
      <c r="V130" s="31">
        <f t="shared" si="18"/>
        <v>5.306277568320151</v>
      </c>
      <c r="W130">
        <f t="shared" si="19"/>
        <v>496.53667399848763</v>
      </c>
      <c r="X130">
        <f t="shared" si="14"/>
        <v>496.53667399848763</v>
      </c>
      <c r="Y130">
        <v>6.7</v>
      </c>
      <c r="Z130">
        <v>265.1</v>
      </c>
      <c r="AA130">
        <v>492.73</v>
      </c>
      <c r="AB130">
        <v>1.28</v>
      </c>
      <c r="AC130">
        <v>10</v>
      </c>
      <c r="AD130">
        <v>-0.49</v>
      </c>
      <c r="AE130">
        <v>-0.75</v>
      </c>
      <c r="AF130">
        <v>-3.16</v>
      </c>
      <c r="AG130">
        <v>-3.33</v>
      </c>
      <c r="AH130">
        <v>-3.5</v>
      </c>
      <c r="AI130">
        <v>105.81</v>
      </c>
      <c r="AJ130">
        <v>0.32</v>
      </c>
      <c r="AK130">
        <v>2</v>
      </c>
      <c r="AL130">
        <v>0.5</v>
      </c>
      <c r="AM130">
        <v>3.47</v>
      </c>
      <c r="AN130">
        <v>0.5</v>
      </c>
    </row>
    <row r="131" spans="1:40" ht="12.75">
      <c r="A131" s="8" t="s">
        <v>204</v>
      </c>
      <c r="B131">
        <v>421</v>
      </c>
      <c r="C131">
        <v>8.4</v>
      </c>
      <c r="D131">
        <v>3.08</v>
      </c>
      <c r="E131">
        <v>1.01</v>
      </c>
      <c r="F131">
        <f t="shared" si="16"/>
        <v>1.06</v>
      </c>
      <c r="T131"/>
      <c r="U131" s="26"/>
      <c r="V131" s="31">
        <f t="shared" si="18"/>
        <v>5.668203099972894</v>
      </c>
      <c r="W131">
        <f t="shared" si="19"/>
        <v>527.3033647949801</v>
      </c>
      <c r="X131">
        <f t="shared" si="14"/>
        <v>527.3033647949801</v>
      </c>
      <c r="Y131">
        <v>6.76</v>
      </c>
      <c r="Z131">
        <v>283.2</v>
      </c>
      <c r="AA131">
        <v>503.77</v>
      </c>
      <c r="AB131">
        <v>1.31</v>
      </c>
      <c r="AC131">
        <v>10</v>
      </c>
      <c r="AD131">
        <v>-0.39</v>
      </c>
      <c r="AE131">
        <v>-0.64</v>
      </c>
      <c r="AF131">
        <v>-3.05</v>
      </c>
      <c r="AG131">
        <v>-3.12</v>
      </c>
      <c r="AH131">
        <v>-3.49</v>
      </c>
      <c r="AI131">
        <v>113.03</v>
      </c>
      <c r="AJ131">
        <v>0.34</v>
      </c>
      <c r="AK131">
        <v>2</v>
      </c>
      <c r="AL131">
        <v>0.5</v>
      </c>
      <c r="AM131">
        <v>3.47</v>
      </c>
      <c r="AN131">
        <v>0.5</v>
      </c>
    </row>
    <row r="132" spans="1:40" ht="12.75">
      <c r="A132" s="8" t="s">
        <v>203</v>
      </c>
      <c r="B132">
        <v>421</v>
      </c>
      <c r="C132">
        <v>8.3</v>
      </c>
      <c r="D132">
        <v>2.97</v>
      </c>
      <c r="E132">
        <v>0.92</v>
      </c>
      <c r="F132">
        <f t="shared" si="16"/>
        <v>0.9700000000000001</v>
      </c>
      <c r="T132"/>
      <c r="U132" s="26"/>
      <c r="V132" s="31">
        <f t="shared" si="18"/>
        <v>5.9098691505877134</v>
      </c>
      <c r="W132">
        <f t="shared" si="19"/>
        <v>547.7302979462058</v>
      </c>
      <c r="X132">
        <f t="shared" si="14"/>
        <v>547.7302979462058</v>
      </c>
      <c r="Y132">
        <v>6.79</v>
      </c>
      <c r="Z132">
        <v>295.3</v>
      </c>
      <c r="AA132">
        <v>511.13</v>
      </c>
      <c r="AB132">
        <v>1.33</v>
      </c>
      <c r="AC132">
        <v>10</v>
      </c>
      <c r="AD132">
        <v>-0.32</v>
      </c>
      <c r="AE132">
        <v>-0.57</v>
      </c>
      <c r="AF132">
        <v>-2.98</v>
      </c>
      <c r="AG132">
        <v>-2.98</v>
      </c>
      <c r="AH132">
        <v>-3.48</v>
      </c>
      <c r="AI132">
        <v>117.84</v>
      </c>
      <c r="AJ132">
        <v>0.36</v>
      </c>
      <c r="AK132">
        <v>2</v>
      </c>
      <c r="AL132">
        <v>0.5</v>
      </c>
      <c r="AM132">
        <v>3.47</v>
      </c>
      <c r="AN132">
        <v>0.5</v>
      </c>
    </row>
    <row r="133" spans="1:40" ht="12.75">
      <c r="A133" s="8" t="s">
        <v>202</v>
      </c>
      <c r="B133">
        <v>421</v>
      </c>
      <c r="C133">
        <v>8.2</v>
      </c>
      <c r="D133">
        <v>2.87</v>
      </c>
      <c r="E133">
        <v>0.82</v>
      </c>
      <c r="F133">
        <f t="shared" si="16"/>
        <v>0.87</v>
      </c>
      <c r="T133"/>
      <c r="U133" s="26"/>
      <c r="V133" s="31">
        <f t="shared" si="18"/>
        <v>6.150213153939036</v>
      </c>
      <c r="W133">
        <f t="shared" si="19"/>
        <v>567.955921197674</v>
      </c>
      <c r="X133">
        <f t="shared" si="14"/>
        <v>567.955921197674</v>
      </c>
      <c r="Y133">
        <v>6.83</v>
      </c>
      <c r="Z133">
        <v>307.4</v>
      </c>
      <c r="AA133">
        <v>518.49</v>
      </c>
      <c r="AB133">
        <v>1.36</v>
      </c>
      <c r="AC133">
        <v>10</v>
      </c>
      <c r="AD133">
        <v>-0.25</v>
      </c>
      <c r="AE133">
        <v>-0.51</v>
      </c>
      <c r="AF133">
        <v>-2.91</v>
      </c>
      <c r="AG133">
        <v>-2.84</v>
      </c>
      <c r="AH133">
        <v>-3.47</v>
      </c>
      <c r="AI133">
        <v>122.64</v>
      </c>
      <c r="AJ133">
        <v>0.37</v>
      </c>
      <c r="AK133">
        <v>2</v>
      </c>
      <c r="AL133">
        <v>0.5</v>
      </c>
      <c r="AM133">
        <v>3.47</v>
      </c>
      <c r="AN133">
        <v>0.5</v>
      </c>
    </row>
    <row r="134" spans="1:40" ht="12.75">
      <c r="A134" s="8" t="s">
        <v>194</v>
      </c>
      <c r="B134">
        <v>421</v>
      </c>
      <c r="C134">
        <v>8.1</v>
      </c>
      <c r="D134">
        <v>2.76</v>
      </c>
      <c r="E134">
        <v>0.72</v>
      </c>
      <c r="F134">
        <f t="shared" si="16"/>
        <v>0.77</v>
      </c>
      <c r="T134"/>
      <c r="U134" s="26"/>
      <c r="V134" s="31">
        <f t="shared" si="18"/>
        <v>6.391879204553855</v>
      </c>
      <c r="W134">
        <f t="shared" si="19"/>
        <v>588.205165212242</v>
      </c>
      <c r="X134">
        <f t="shared" si="14"/>
        <v>588.205165212242</v>
      </c>
      <c r="Y134">
        <v>6.87</v>
      </c>
      <c r="Z134">
        <v>319.5</v>
      </c>
      <c r="AA134">
        <v>525.84</v>
      </c>
      <c r="AB134">
        <v>1.38</v>
      </c>
      <c r="AC134">
        <v>10</v>
      </c>
      <c r="AD134">
        <v>-0.18</v>
      </c>
      <c r="AE134">
        <v>-0.44</v>
      </c>
      <c r="AF134">
        <v>-2.84</v>
      </c>
      <c r="AG134">
        <v>-2.7</v>
      </c>
      <c r="AH134">
        <v>-3.46</v>
      </c>
      <c r="AI134">
        <v>127.45</v>
      </c>
      <c r="AJ134">
        <v>0.39</v>
      </c>
      <c r="AK134">
        <v>2</v>
      </c>
      <c r="AL134">
        <v>0.5</v>
      </c>
      <c r="AM134">
        <v>3.47</v>
      </c>
      <c r="AN134">
        <v>0.5</v>
      </c>
    </row>
    <row r="135" spans="1:40" ht="12.75">
      <c r="A135" s="8" t="s">
        <v>201</v>
      </c>
      <c r="B135">
        <v>421</v>
      </c>
      <c r="C135">
        <v>8</v>
      </c>
      <c r="D135">
        <v>2.66</v>
      </c>
      <c r="E135">
        <v>0.63</v>
      </c>
      <c r="F135">
        <f t="shared" si="16"/>
        <v>0.68</v>
      </c>
      <c r="T135"/>
      <c r="U135" s="26"/>
      <c r="V135" s="31">
        <f t="shared" si="18"/>
        <v>6.632722209901185</v>
      </c>
      <c r="W135">
        <f t="shared" si="19"/>
        <v>608.3001994556473</v>
      </c>
      <c r="X135">
        <f t="shared" si="14"/>
        <v>608.3001994556473</v>
      </c>
      <c r="Y135">
        <v>6.91</v>
      </c>
      <c r="Z135">
        <v>331.5</v>
      </c>
      <c r="AA135">
        <v>533.2</v>
      </c>
      <c r="AB135">
        <v>1.4</v>
      </c>
      <c r="AC135">
        <v>10</v>
      </c>
      <c r="AD135">
        <v>-0.11</v>
      </c>
      <c r="AE135">
        <v>-0.37</v>
      </c>
      <c r="AF135">
        <v>-2.78</v>
      </c>
      <c r="AG135">
        <v>-2.57</v>
      </c>
      <c r="AH135">
        <v>-3.45</v>
      </c>
      <c r="AI135">
        <v>132.26</v>
      </c>
      <c r="AJ135">
        <v>0.4</v>
      </c>
      <c r="AK135">
        <v>2</v>
      </c>
      <c r="AL135">
        <v>0.5</v>
      </c>
      <c r="AM135">
        <v>3.47</v>
      </c>
      <c r="AN135">
        <v>0.5</v>
      </c>
    </row>
    <row r="136" spans="1:40" ht="12.75">
      <c r="A136" s="8" t="s">
        <v>169</v>
      </c>
      <c r="B136">
        <v>421</v>
      </c>
      <c r="C136">
        <v>7.9</v>
      </c>
      <c r="D136">
        <v>2.57</v>
      </c>
      <c r="E136">
        <v>0.53</v>
      </c>
      <c r="F136">
        <f t="shared" si="16"/>
        <v>0.5800000000000001</v>
      </c>
      <c r="T136"/>
      <c r="U136" s="26"/>
      <c r="V136" s="31">
        <f t="shared" si="18"/>
        <v>6.7538047362065985</v>
      </c>
      <c r="W136">
        <f t="shared" si="19"/>
        <v>618.3713441128875</v>
      </c>
      <c r="X136">
        <f t="shared" si="14"/>
        <v>618.3713441128875</v>
      </c>
      <c r="Y136">
        <v>6.93</v>
      </c>
      <c r="Z136">
        <v>337.6</v>
      </c>
      <c r="AA136">
        <v>536.88</v>
      </c>
      <c r="AB136">
        <v>1.41</v>
      </c>
      <c r="AC136">
        <v>10</v>
      </c>
      <c r="AD136">
        <v>-0.08</v>
      </c>
      <c r="AE136">
        <v>-0.34</v>
      </c>
      <c r="AF136">
        <v>-2.74</v>
      </c>
      <c r="AG136">
        <v>-2.5</v>
      </c>
      <c r="AH136">
        <v>-3.45</v>
      </c>
      <c r="AI136">
        <v>134.67</v>
      </c>
      <c r="AJ136">
        <v>0.41</v>
      </c>
      <c r="AK136">
        <v>2</v>
      </c>
      <c r="AL136">
        <v>0.5</v>
      </c>
      <c r="AM136">
        <v>3.47</v>
      </c>
      <c r="AN136">
        <v>0.5</v>
      </c>
    </row>
    <row r="137" spans="1:40" ht="12.75">
      <c r="A137" s="8" t="s">
        <v>200</v>
      </c>
      <c r="B137">
        <v>421</v>
      </c>
      <c r="C137">
        <v>7.8</v>
      </c>
      <c r="D137">
        <v>2.46</v>
      </c>
      <c r="E137">
        <v>0.43</v>
      </c>
      <c r="F137">
        <f t="shared" si="16"/>
        <v>0.48</v>
      </c>
      <c r="T137"/>
      <c r="U137" s="26"/>
      <c r="V137" s="31">
        <f t="shared" si="18"/>
        <v>6.813684975727558</v>
      </c>
      <c r="W137">
        <f t="shared" si="19"/>
        <v>623.3442383317112</v>
      </c>
      <c r="X137">
        <f t="shared" si="14"/>
        <v>623.3442383317112</v>
      </c>
      <c r="Y137">
        <v>6.94</v>
      </c>
      <c r="Z137">
        <v>340.6</v>
      </c>
      <c r="AA137">
        <v>538.72</v>
      </c>
      <c r="AB137">
        <v>1.42</v>
      </c>
      <c r="AC137">
        <v>10</v>
      </c>
      <c r="AD137">
        <v>-0.06</v>
      </c>
      <c r="AE137">
        <v>-0.32</v>
      </c>
      <c r="AF137">
        <v>-2.73</v>
      </c>
      <c r="AG137">
        <v>-2.47</v>
      </c>
      <c r="AH137">
        <v>-3.44</v>
      </c>
      <c r="AI137">
        <v>135.87</v>
      </c>
      <c r="AJ137">
        <v>0.41</v>
      </c>
      <c r="AK137">
        <v>2</v>
      </c>
      <c r="AL137">
        <v>0.5</v>
      </c>
      <c r="AM137">
        <v>3.47</v>
      </c>
      <c r="AN137">
        <v>0.5</v>
      </c>
    </row>
    <row r="138" spans="1:40" ht="12.75">
      <c r="A138" t="s">
        <v>197</v>
      </c>
      <c r="B138">
        <v>421</v>
      </c>
      <c r="C138">
        <v>7.7</v>
      </c>
      <c r="D138">
        <v>2.36</v>
      </c>
      <c r="E138">
        <v>0.33</v>
      </c>
      <c r="F138">
        <f t="shared" si="16"/>
        <v>0.38</v>
      </c>
      <c r="T138"/>
      <c r="U138" s="26"/>
      <c r="V138" s="31">
        <f t="shared" si="18"/>
        <v>6.849613119440132</v>
      </c>
      <c r="W138">
        <f t="shared" si="19"/>
        <v>626.3255449462024</v>
      </c>
      <c r="X138">
        <f t="shared" si="14"/>
        <v>626.3255449462024</v>
      </c>
      <c r="Y138">
        <v>6.94</v>
      </c>
      <c r="Z138">
        <v>342.4</v>
      </c>
      <c r="AA138">
        <v>539.83</v>
      </c>
      <c r="AB138">
        <v>1.42</v>
      </c>
      <c r="AC138">
        <v>10</v>
      </c>
      <c r="AD138">
        <v>-0.05</v>
      </c>
      <c r="AE138">
        <v>-0.31</v>
      </c>
      <c r="AF138">
        <v>-2.72</v>
      </c>
      <c r="AG138">
        <v>-2.45</v>
      </c>
      <c r="AH138">
        <v>-3.44</v>
      </c>
      <c r="AI138">
        <v>136.59</v>
      </c>
      <c r="AJ138">
        <v>0.41</v>
      </c>
      <c r="AK138">
        <v>2</v>
      </c>
      <c r="AL138">
        <v>0.5</v>
      </c>
      <c r="AM138">
        <v>3.47</v>
      </c>
      <c r="AN138">
        <v>0.5</v>
      </c>
    </row>
    <row r="139" spans="1:23" ht="12.75">
      <c r="A139" s="8" t="s">
        <v>158</v>
      </c>
      <c r="B139">
        <v>421</v>
      </c>
      <c r="C139">
        <v>7.6</v>
      </c>
      <c r="D139">
        <v>2.26</v>
      </c>
      <c r="E139">
        <v>0.23</v>
      </c>
      <c r="F139">
        <f t="shared" si="16"/>
        <v>0.28</v>
      </c>
      <c r="T139"/>
      <c r="U139" s="26"/>
      <c r="V139" s="31"/>
    </row>
    <row r="140" spans="1:24" ht="12.75">
      <c r="A140" s="8" t="s">
        <v>198</v>
      </c>
      <c r="B140">
        <v>421</v>
      </c>
      <c r="C140">
        <v>7.5</v>
      </c>
      <c r="D140">
        <v>2.16</v>
      </c>
      <c r="E140">
        <v>0.14</v>
      </c>
      <c r="F140">
        <f t="shared" si="16"/>
        <v>0.19</v>
      </c>
      <c r="T140"/>
      <c r="U140" s="26"/>
      <c r="V140" s="31"/>
      <c r="W140" s="31"/>
      <c r="X140" s="31"/>
    </row>
    <row r="141" spans="1:24" ht="12.75">
      <c r="A141" s="8" t="s">
        <v>195</v>
      </c>
      <c r="B141">
        <v>421</v>
      </c>
      <c r="C141">
        <v>7.4</v>
      </c>
      <c r="D141">
        <v>2.05</v>
      </c>
      <c r="E141">
        <v>0.03</v>
      </c>
      <c r="F141">
        <f t="shared" si="16"/>
        <v>0.08</v>
      </c>
      <c r="T141"/>
      <c r="U141" s="26"/>
      <c r="V141" s="31"/>
      <c r="W141" s="31"/>
      <c r="X141" s="31"/>
    </row>
    <row r="142" spans="1:24" ht="12.75">
      <c r="A142" s="8" t="s">
        <v>299</v>
      </c>
      <c r="B142">
        <v>421</v>
      </c>
      <c r="C142">
        <v>7.34</v>
      </c>
      <c r="D142">
        <v>2</v>
      </c>
      <c r="E142">
        <v>-0.02</v>
      </c>
      <c r="F142">
        <f t="shared" si="16"/>
        <v>0.030000000000000002</v>
      </c>
      <c r="T142"/>
      <c r="U142" s="26"/>
      <c r="V142" s="31"/>
      <c r="W142" s="31"/>
      <c r="X142" s="31"/>
    </row>
    <row r="143" spans="1:24" ht="12.75">
      <c r="A143" s="8" t="s">
        <v>295</v>
      </c>
      <c r="B143">
        <v>421</v>
      </c>
      <c r="C143">
        <v>7.31</v>
      </c>
      <c r="D143">
        <v>1.97</v>
      </c>
      <c r="E143">
        <v>-0.05</v>
      </c>
      <c r="F143">
        <f>E143+0.05</f>
        <v>0</v>
      </c>
      <c r="T143"/>
      <c r="U143" s="26"/>
      <c r="V143" s="31"/>
      <c r="W143" s="31"/>
      <c r="X143" s="31"/>
    </row>
    <row r="144" spans="1:24" ht="12.75">
      <c r="A144" s="8" t="s">
        <v>300</v>
      </c>
      <c r="B144">
        <v>421</v>
      </c>
      <c r="C144">
        <v>6.84</v>
      </c>
      <c r="D144">
        <v>1.5</v>
      </c>
      <c r="E144">
        <v>-0.52</v>
      </c>
      <c r="F144">
        <f>E144+0.05</f>
        <v>-0.47000000000000003</v>
      </c>
      <c r="T144"/>
      <c r="U144" s="26"/>
      <c r="V144" s="31"/>
      <c r="W144" s="31"/>
      <c r="X144" s="31"/>
    </row>
    <row r="145" spans="1:24" ht="12.75">
      <c r="A145" s="8" t="s">
        <v>301</v>
      </c>
      <c r="B145">
        <v>421</v>
      </c>
      <c r="C145">
        <v>6.82</v>
      </c>
      <c r="D145">
        <v>1.47</v>
      </c>
      <c r="E145">
        <v>-0.55</v>
      </c>
      <c r="F145">
        <f>E145+0.05</f>
        <v>-0.5</v>
      </c>
      <c r="T145"/>
      <c r="U145" s="26"/>
      <c r="V145" s="31"/>
      <c r="W145" s="31"/>
      <c r="X145" s="31"/>
    </row>
    <row r="146" spans="1:24" ht="12.75">
      <c r="A146" s="8" t="s">
        <v>302</v>
      </c>
      <c r="B146">
        <v>421</v>
      </c>
      <c r="C146">
        <v>6.35</v>
      </c>
      <c r="D146">
        <v>1</v>
      </c>
      <c r="E146">
        <v>-1.01</v>
      </c>
      <c r="F146">
        <f>E146+0.05</f>
        <v>-0.96</v>
      </c>
      <c r="T146"/>
      <c r="U146" s="26"/>
      <c r="V146" s="31"/>
      <c r="W146" s="31"/>
      <c r="X146" s="31"/>
    </row>
    <row r="147" spans="1:24" ht="12.75">
      <c r="A147" s="8" t="s">
        <v>303</v>
      </c>
      <c r="B147">
        <v>421</v>
      </c>
      <c r="C147">
        <v>6.31</v>
      </c>
      <c r="D147">
        <v>0.97</v>
      </c>
      <c r="E147">
        <v>-1.05</v>
      </c>
      <c r="F147">
        <f>E147+0.05</f>
        <v>-1</v>
      </c>
      <c r="T147"/>
      <c r="U147" s="26"/>
      <c r="V147" s="31"/>
      <c r="W147" s="31"/>
      <c r="X147" s="31"/>
    </row>
    <row r="148" spans="1:24" ht="12.75">
      <c r="A148" s="8"/>
      <c r="T148"/>
      <c r="U148" s="26"/>
      <c r="V148" s="31"/>
      <c r="W148" s="31"/>
      <c r="X148" s="31"/>
    </row>
    <row r="149" spans="1:24" ht="12.75">
      <c r="A149" s="8" t="s">
        <v>196</v>
      </c>
      <c r="B149">
        <v>505</v>
      </c>
      <c r="C149">
        <v>8.3</v>
      </c>
      <c r="D149">
        <v>2.89</v>
      </c>
      <c r="E149">
        <v>1.07</v>
      </c>
      <c r="F149">
        <f t="shared" si="16"/>
        <v>1.12</v>
      </c>
      <c r="T149"/>
      <c r="U149" s="26"/>
      <c r="V149" s="31"/>
      <c r="W149" s="31"/>
      <c r="X149" s="31"/>
    </row>
    <row r="150" spans="1:22" ht="12.75">
      <c r="A150" s="8" t="s">
        <v>195</v>
      </c>
      <c r="B150">
        <v>505</v>
      </c>
      <c r="C150">
        <v>8.2</v>
      </c>
      <c r="D150">
        <v>2.78</v>
      </c>
      <c r="E150">
        <v>0.97</v>
      </c>
      <c r="F150">
        <f t="shared" si="16"/>
        <v>1.02</v>
      </c>
      <c r="T150"/>
      <c r="U150" s="26"/>
      <c r="V150" s="31"/>
    </row>
    <row r="151" spans="1:6" ht="12.75">
      <c r="A151" s="8" t="s">
        <v>172</v>
      </c>
      <c r="B151">
        <v>505</v>
      </c>
      <c r="C151">
        <v>8.1</v>
      </c>
      <c r="D151">
        <v>2.68</v>
      </c>
      <c r="E151">
        <v>0.87</v>
      </c>
      <c r="F151">
        <f t="shared" si="16"/>
        <v>0.92</v>
      </c>
    </row>
    <row r="152" spans="1:6" ht="12.75">
      <c r="A152" s="8" t="s">
        <v>194</v>
      </c>
      <c r="B152">
        <v>505</v>
      </c>
      <c r="C152">
        <v>8</v>
      </c>
      <c r="D152">
        <v>2.59</v>
      </c>
      <c r="E152">
        <v>0.78</v>
      </c>
      <c r="F152">
        <f t="shared" si="16"/>
        <v>0.8300000000000001</v>
      </c>
    </row>
    <row r="153" spans="1:6" ht="12.75">
      <c r="A153" s="8" t="s">
        <v>193</v>
      </c>
      <c r="B153">
        <v>505</v>
      </c>
      <c r="C153">
        <v>7.9</v>
      </c>
      <c r="D153">
        <v>2.48</v>
      </c>
      <c r="E153">
        <v>0.69</v>
      </c>
      <c r="F153">
        <f t="shared" si="16"/>
        <v>0.74</v>
      </c>
    </row>
    <row r="154" spans="1:6" ht="12.75">
      <c r="A154" s="8" t="s">
        <v>192</v>
      </c>
      <c r="B154">
        <v>505</v>
      </c>
      <c r="C154">
        <v>7.8</v>
      </c>
      <c r="D154">
        <v>2.38</v>
      </c>
      <c r="E154">
        <v>0.59</v>
      </c>
      <c r="F154">
        <f t="shared" si="16"/>
        <v>0.64</v>
      </c>
    </row>
    <row r="155" spans="1:6" ht="12.75">
      <c r="A155" t="s">
        <v>189</v>
      </c>
      <c r="B155">
        <v>505</v>
      </c>
      <c r="C155">
        <v>7.7</v>
      </c>
      <c r="D155">
        <v>2.28</v>
      </c>
      <c r="E155">
        <v>0.49</v>
      </c>
      <c r="F155">
        <f t="shared" si="16"/>
        <v>0.54</v>
      </c>
    </row>
    <row r="156" spans="1:6" ht="12.75">
      <c r="A156" s="8" t="s">
        <v>190</v>
      </c>
      <c r="B156">
        <v>505</v>
      </c>
      <c r="C156">
        <v>7.6</v>
      </c>
      <c r="D156">
        <v>2.18</v>
      </c>
      <c r="E156">
        <v>0.39</v>
      </c>
      <c r="F156">
        <f t="shared" si="16"/>
        <v>0.44</v>
      </c>
    </row>
    <row r="157" spans="1:6" ht="12.75">
      <c r="A157" s="8" t="s">
        <v>191</v>
      </c>
      <c r="B157">
        <v>505</v>
      </c>
      <c r="C157">
        <v>7.5</v>
      </c>
      <c r="D157">
        <v>2.08</v>
      </c>
      <c r="E157">
        <v>0.29</v>
      </c>
      <c r="F157">
        <f t="shared" si="16"/>
        <v>0.33999999999999997</v>
      </c>
    </row>
    <row r="158" spans="1:6" ht="12.75">
      <c r="A158" s="8" t="s">
        <v>170</v>
      </c>
      <c r="B158">
        <v>505</v>
      </c>
      <c r="C158">
        <v>7.4</v>
      </c>
      <c r="D158">
        <v>2</v>
      </c>
      <c r="E158">
        <v>0.21</v>
      </c>
      <c r="F158">
        <f t="shared" si="16"/>
        <v>0.26</v>
      </c>
    </row>
    <row r="159" spans="1:6" ht="12.75">
      <c r="A159" s="8" t="s">
        <v>181</v>
      </c>
      <c r="B159">
        <v>505</v>
      </c>
      <c r="C159">
        <v>7.3</v>
      </c>
      <c r="D159">
        <v>1.87</v>
      </c>
      <c r="E159">
        <v>0.09</v>
      </c>
      <c r="F159">
        <f t="shared" si="16"/>
        <v>0.14</v>
      </c>
    </row>
    <row r="160" spans="1:6" ht="12.75">
      <c r="A160" s="8" t="s">
        <v>304</v>
      </c>
      <c r="B160">
        <v>505</v>
      </c>
      <c r="C160">
        <v>7.16</v>
      </c>
      <c r="D160">
        <v>1.74</v>
      </c>
      <c r="E160">
        <v>-0.05</v>
      </c>
      <c r="F160">
        <f t="shared" si="16"/>
        <v>0</v>
      </c>
    </row>
    <row r="161" spans="1:6" ht="12.75">
      <c r="A161" s="8" t="s">
        <v>305</v>
      </c>
      <c r="B161">
        <v>505</v>
      </c>
      <c r="C161">
        <v>6.92</v>
      </c>
      <c r="D161">
        <v>1.5</v>
      </c>
      <c r="E161">
        <v>-0.29</v>
      </c>
      <c r="F161">
        <f t="shared" si="16"/>
        <v>-0.24</v>
      </c>
    </row>
    <row r="162" spans="1:6" ht="12.75">
      <c r="A162" s="8" t="s">
        <v>306</v>
      </c>
      <c r="B162">
        <v>505</v>
      </c>
      <c r="C162">
        <v>6.66</v>
      </c>
      <c r="D162">
        <v>1.23</v>
      </c>
      <c r="E162">
        <v>-0.55</v>
      </c>
      <c r="F162">
        <f t="shared" si="16"/>
        <v>-0.5</v>
      </c>
    </row>
    <row r="163" spans="1:6" ht="12.75">
      <c r="A163" s="8" t="s">
        <v>302</v>
      </c>
      <c r="B163">
        <v>505</v>
      </c>
      <c r="C163">
        <v>6.43</v>
      </c>
      <c r="D163">
        <v>1</v>
      </c>
      <c r="E163">
        <v>-0.78</v>
      </c>
      <c r="F163">
        <f t="shared" si="16"/>
        <v>-0.73</v>
      </c>
    </row>
    <row r="164" spans="1:6" ht="12.75">
      <c r="A164" s="8" t="s">
        <v>307</v>
      </c>
      <c r="B164">
        <v>505</v>
      </c>
      <c r="C164">
        <v>6.16</v>
      </c>
      <c r="D164">
        <v>0.73</v>
      </c>
      <c r="E164">
        <v>-1.05</v>
      </c>
      <c r="F164">
        <f t="shared" si="16"/>
        <v>-1</v>
      </c>
    </row>
    <row r="165" ht="12.75">
      <c r="A165" s="8"/>
    </row>
    <row r="166" spans="1:6" ht="12.75">
      <c r="A166" s="8" t="s">
        <v>188</v>
      </c>
      <c r="B166">
        <v>550</v>
      </c>
      <c r="C166">
        <v>8.2</v>
      </c>
      <c r="D166">
        <v>2.75</v>
      </c>
      <c r="E166">
        <v>1.05</v>
      </c>
      <c r="F166">
        <f t="shared" si="16"/>
        <v>1.1</v>
      </c>
    </row>
    <row r="167" spans="1:6" ht="12.75">
      <c r="A167" s="8" t="s">
        <v>187</v>
      </c>
      <c r="B167">
        <v>550</v>
      </c>
      <c r="C167">
        <v>8.1</v>
      </c>
      <c r="D167">
        <v>2.65</v>
      </c>
      <c r="E167">
        <v>0.95</v>
      </c>
      <c r="F167">
        <f t="shared" si="16"/>
        <v>1</v>
      </c>
    </row>
    <row r="168" spans="1:6" ht="12.75">
      <c r="A168" s="8" t="s">
        <v>186</v>
      </c>
      <c r="B168">
        <v>550</v>
      </c>
      <c r="C168">
        <v>8</v>
      </c>
      <c r="D168">
        <v>2.55</v>
      </c>
      <c r="E168">
        <v>0.86</v>
      </c>
      <c r="F168">
        <f t="shared" si="16"/>
        <v>0.91</v>
      </c>
    </row>
    <row r="169" spans="1:6" ht="12.75">
      <c r="A169" s="8" t="s">
        <v>185</v>
      </c>
      <c r="B169">
        <v>550</v>
      </c>
      <c r="C169">
        <v>7.9</v>
      </c>
      <c r="D169">
        <v>2.44</v>
      </c>
      <c r="E169">
        <v>0.76</v>
      </c>
      <c r="F169">
        <f t="shared" si="16"/>
        <v>0.81</v>
      </c>
    </row>
    <row r="170" spans="1:6" ht="12.75">
      <c r="A170" s="8" t="s">
        <v>174</v>
      </c>
      <c r="B170">
        <v>550</v>
      </c>
      <c r="C170">
        <v>7.8</v>
      </c>
      <c r="D170">
        <v>2.34</v>
      </c>
      <c r="E170">
        <v>0.66</v>
      </c>
      <c r="F170">
        <f t="shared" si="16"/>
        <v>0.7100000000000001</v>
      </c>
    </row>
    <row r="171" spans="1:6" ht="12.75">
      <c r="A171" t="s">
        <v>176</v>
      </c>
      <c r="B171">
        <v>550</v>
      </c>
      <c r="C171">
        <v>7.7</v>
      </c>
      <c r="D171">
        <v>2.24</v>
      </c>
      <c r="E171">
        <v>0.56</v>
      </c>
      <c r="F171">
        <f t="shared" si="16"/>
        <v>0.6100000000000001</v>
      </c>
    </row>
    <row r="172" spans="1:6" ht="12.75">
      <c r="A172" s="8" t="s">
        <v>177</v>
      </c>
      <c r="B172">
        <v>550</v>
      </c>
      <c r="C172">
        <v>7.6</v>
      </c>
      <c r="D172">
        <v>2.14</v>
      </c>
      <c r="E172">
        <v>0.46</v>
      </c>
      <c r="F172">
        <f t="shared" si="16"/>
        <v>0.51</v>
      </c>
    </row>
    <row r="173" spans="1:6" ht="12.75">
      <c r="A173" s="8" t="s">
        <v>179</v>
      </c>
      <c r="B173">
        <v>550</v>
      </c>
      <c r="C173">
        <v>7.5</v>
      </c>
      <c r="D173">
        <v>2.04</v>
      </c>
      <c r="E173">
        <v>0.37</v>
      </c>
      <c r="F173">
        <f t="shared" si="16"/>
        <v>0.42</v>
      </c>
    </row>
    <row r="174" spans="1:6" ht="12.75">
      <c r="A174" s="8" t="s">
        <v>180</v>
      </c>
      <c r="B174">
        <v>550</v>
      </c>
      <c r="C174">
        <v>7.4</v>
      </c>
      <c r="D174">
        <v>1.94</v>
      </c>
      <c r="E174">
        <v>0.27</v>
      </c>
      <c r="F174">
        <f t="shared" si="16"/>
        <v>0.32</v>
      </c>
    </row>
    <row r="175" spans="1:6" ht="12.75">
      <c r="A175" s="8" t="s">
        <v>182</v>
      </c>
      <c r="B175">
        <v>550</v>
      </c>
      <c r="C175">
        <v>7.3</v>
      </c>
      <c r="D175">
        <v>1.84</v>
      </c>
      <c r="E175">
        <v>0.16</v>
      </c>
      <c r="F175">
        <f t="shared" si="16"/>
        <v>0.21000000000000002</v>
      </c>
    </row>
    <row r="176" spans="1:6" ht="12.75">
      <c r="A176" s="8" t="s">
        <v>183</v>
      </c>
      <c r="B176">
        <v>550</v>
      </c>
      <c r="C176">
        <v>7.2</v>
      </c>
      <c r="D176">
        <v>1.73</v>
      </c>
      <c r="E176">
        <v>0.06</v>
      </c>
      <c r="F176">
        <f t="shared" si="16"/>
        <v>0.11</v>
      </c>
    </row>
    <row r="177" spans="1:6" ht="12.75">
      <c r="A177" s="8" t="s">
        <v>184</v>
      </c>
      <c r="B177">
        <v>550</v>
      </c>
      <c r="C177">
        <v>7.1</v>
      </c>
      <c r="D177">
        <v>1.64</v>
      </c>
      <c r="E177">
        <v>-0.03</v>
      </c>
      <c r="F177">
        <f t="shared" si="16"/>
        <v>0.020000000000000004</v>
      </c>
    </row>
    <row r="178" spans="1:6" ht="12.75">
      <c r="A178" s="75" t="s">
        <v>383</v>
      </c>
      <c r="B178">
        <v>550</v>
      </c>
      <c r="C178">
        <v>7.09</v>
      </c>
      <c r="D178">
        <v>1.62</v>
      </c>
      <c r="E178">
        <v>-0.05</v>
      </c>
      <c r="F178">
        <f t="shared" si="16"/>
        <v>0</v>
      </c>
    </row>
    <row r="180" spans="1:6" ht="12.75">
      <c r="A180" t="s">
        <v>134</v>
      </c>
      <c r="B180">
        <v>596</v>
      </c>
      <c r="C180">
        <v>8.2</v>
      </c>
      <c r="D180">
        <v>2.69</v>
      </c>
      <c r="E180">
        <v>1.13</v>
      </c>
      <c r="F180">
        <f aca="true" t="shared" si="20" ref="F180:F188">E180+0.05</f>
        <v>1.18</v>
      </c>
    </row>
    <row r="181" spans="1:6" ht="12.75">
      <c r="A181" t="s">
        <v>133</v>
      </c>
      <c r="B181">
        <v>596</v>
      </c>
      <c r="C181">
        <v>8.1</v>
      </c>
      <c r="D181">
        <v>2.59</v>
      </c>
      <c r="E181" s="25">
        <v>1.03</v>
      </c>
      <c r="F181">
        <f t="shared" si="20"/>
        <v>1.08</v>
      </c>
    </row>
    <row r="182" spans="1:6" ht="12.75">
      <c r="A182" t="s">
        <v>132</v>
      </c>
      <c r="B182">
        <v>596</v>
      </c>
      <c r="C182">
        <v>8</v>
      </c>
      <c r="D182" s="25">
        <v>2.49</v>
      </c>
      <c r="E182">
        <v>0.93</v>
      </c>
      <c r="F182">
        <f t="shared" si="20"/>
        <v>0.9800000000000001</v>
      </c>
    </row>
    <row r="183" spans="1:6" ht="12.75">
      <c r="A183" t="s">
        <v>131</v>
      </c>
      <c r="B183">
        <v>596</v>
      </c>
      <c r="C183">
        <v>7.9</v>
      </c>
      <c r="D183">
        <v>2.4</v>
      </c>
      <c r="E183">
        <v>0.83</v>
      </c>
      <c r="F183">
        <f t="shared" si="20"/>
        <v>0.88</v>
      </c>
    </row>
    <row r="184" spans="1:6" ht="12.75">
      <c r="A184" s="8" t="s">
        <v>188</v>
      </c>
      <c r="B184">
        <v>596</v>
      </c>
      <c r="C184">
        <v>7.57</v>
      </c>
      <c r="D184">
        <v>2.06</v>
      </c>
      <c r="E184">
        <v>0.5</v>
      </c>
      <c r="F184">
        <f t="shared" si="20"/>
        <v>0.55</v>
      </c>
    </row>
    <row r="185" spans="1:6" ht="12.75">
      <c r="A185" s="8" t="s">
        <v>295</v>
      </c>
      <c r="B185">
        <v>596</v>
      </c>
      <c r="C185">
        <v>7.51</v>
      </c>
      <c r="D185">
        <v>2</v>
      </c>
      <c r="E185">
        <v>0.45</v>
      </c>
      <c r="F185">
        <f t="shared" si="20"/>
        <v>0.5</v>
      </c>
    </row>
    <row r="186" spans="1:6" ht="12.75">
      <c r="A186" s="8" t="s">
        <v>284</v>
      </c>
      <c r="B186">
        <v>596</v>
      </c>
      <c r="C186">
        <v>7.01</v>
      </c>
      <c r="D186">
        <v>1.5</v>
      </c>
      <c r="E186">
        <v>-0.05</v>
      </c>
      <c r="F186">
        <f t="shared" si="20"/>
        <v>0</v>
      </c>
    </row>
    <row r="187" spans="1:6" ht="12.75">
      <c r="A187" s="8" t="s">
        <v>288</v>
      </c>
      <c r="B187">
        <v>596</v>
      </c>
      <c r="C187">
        <v>6.51</v>
      </c>
      <c r="D187">
        <v>1</v>
      </c>
      <c r="E187">
        <v>-0.55</v>
      </c>
      <c r="F187">
        <f t="shared" si="20"/>
        <v>-0.5</v>
      </c>
    </row>
    <row r="188" spans="1:6" ht="12.75">
      <c r="A188" s="8" t="s">
        <v>308</v>
      </c>
      <c r="B188">
        <v>596</v>
      </c>
      <c r="C188">
        <v>6</v>
      </c>
      <c r="D188">
        <v>0.49</v>
      </c>
      <c r="E188">
        <v>-1.05</v>
      </c>
      <c r="F188">
        <f t="shared" si="20"/>
        <v>-1</v>
      </c>
    </row>
    <row r="190" spans="1:6" ht="12.75">
      <c r="A190" s="8" t="s">
        <v>317</v>
      </c>
      <c r="B190">
        <v>702</v>
      </c>
      <c r="C190">
        <v>8.07</v>
      </c>
      <c r="D190">
        <v>2.5</v>
      </c>
      <c r="E190">
        <v>1.12</v>
      </c>
      <c r="F190">
        <f>E190+0.05</f>
        <v>1.1700000000000002</v>
      </c>
    </row>
    <row r="191" spans="1:6" ht="12.75">
      <c r="A191" s="8" t="s">
        <v>316</v>
      </c>
      <c r="B191">
        <v>702</v>
      </c>
      <c r="C191">
        <v>7.89</v>
      </c>
      <c r="D191">
        <v>2.32</v>
      </c>
      <c r="E191">
        <v>0.95</v>
      </c>
      <c r="F191">
        <f>E191+0.05</f>
        <v>1</v>
      </c>
    </row>
    <row r="192" spans="1:6" ht="12.75">
      <c r="A192" t="s">
        <v>309</v>
      </c>
      <c r="B192">
        <v>702</v>
      </c>
      <c r="C192">
        <v>7.7</v>
      </c>
      <c r="D192">
        <v>2.13</v>
      </c>
      <c r="E192">
        <v>0.77</v>
      </c>
      <c r="F192">
        <f>E192+0.05</f>
        <v>0.8200000000000001</v>
      </c>
    </row>
    <row r="193" spans="1:6" ht="12.75">
      <c r="A193" s="8" t="s">
        <v>279</v>
      </c>
      <c r="B193">
        <v>702</v>
      </c>
      <c r="C193">
        <v>7.57</v>
      </c>
      <c r="D193">
        <v>2</v>
      </c>
      <c r="E193">
        <v>0.64</v>
      </c>
      <c r="F193">
        <f aca="true" t="shared" si="21" ref="F193:F222">E193+0.05</f>
        <v>0.6900000000000001</v>
      </c>
    </row>
    <row r="194" spans="1:6" ht="12.75">
      <c r="A194" s="8" t="s">
        <v>310</v>
      </c>
      <c r="B194">
        <v>702</v>
      </c>
      <c r="C194">
        <v>7.38</v>
      </c>
      <c r="D194">
        <v>1.8</v>
      </c>
      <c r="E194">
        <v>0.45</v>
      </c>
      <c r="F194">
        <f t="shared" si="21"/>
        <v>0.5</v>
      </c>
    </row>
    <row r="195" spans="1:6" ht="12.75">
      <c r="A195" s="8" t="s">
        <v>311</v>
      </c>
      <c r="B195">
        <v>702</v>
      </c>
      <c r="C195">
        <v>7.08</v>
      </c>
      <c r="D195">
        <v>1.5</v>
      </c>
      <c r="E195">
        <v>0.15</v>
      </c>
      <c r="F195">
        <f t="shared" si="21"/>
        <v>0.2</v>
      </c>
    </row>
    <row r="196" spans="1:6" ht="12.75">
      <c r="A196" s="8" t="s">
        <v>312</v>
      </c>
      <c r="B196">
        <v>702</v>
      </c>
      <c r="C196">
        <v>6.88</v>
      </c>
      <c r="D196">
        <v>1.3</v>
      </c>
      <c r="E196">
        <v>-0.05</v>
      </c>
      <c r="F196">
        <f t="shared" si="21"/>
        <v>0</v>
      </c>
    </row>
    <row r="197" spans="1:6" ht="12.75">
      <c r="A197" s="8" t="s">
        <v>313</v>
      </c>
      <c r="B197">
        <v>702</v>
      </c>
      <c r="C197">
        <v>6.58</v>
      </c>
      <c r="D197">
        <v>1</v>
      </c>
      <c r="E197">
        <v>-0.35</v>
      </c>
      <c r="F197">
        <f t="shared" si="21"/>
        <v>-0.3</v>
      </c>
    </row>
    <row r="198" spans="1:6" ht="12.75">
      <c r="A198" s="8" t="s">
        <v>315</v>
      </c>
      <c r="B198">
        <v>702</v>
      </c>
      <c r="C198">
        <v>6.37</v>
      </c>
      <c r="D198">
        <v>0.8</v>
      </c>
      <c r="E198">
        <v>-0.55</v>
      </c>
      <c r="F198">
        <f t="shared" si="21"/>
        <v>-0.5</v>
      </c>
    </row>
    <row r="199" spans="1:6" ht="12.75">
      <c r="A199" s="8" t="s">
        <v>314</v>
      </c>
      <c r="B199">
        <v>702</v>
      </c>
      <c r="C199">
        <v>5.88</v>
      </c>
      <c r="D199">
        <v>0.3</v>
      </c>
      <c r="E199">
        <v>-1.05</v>
      </c>
      <c r="F199">
        <f t="shared" si="21"/>
        <v>-1</v>
      </c>
    </row>
    <row r="202" spans="1:6" ht="12.75">
      <c r="A202" s="8" t="s">
        <v>319</v>
      </c>
      <c r="B202">
        <v>851</v>
      </c>
      <c r="C202">
        <v>7.74</v>
      </c>
      <c r="D202">
        <v>2.11</v>
      </c>
      <c r="E202">
        <v>0.95</v>
      </c>
      <c r="F202">
        <f t="shared" si="21"/>
        <v>1</v>
      </c>
    </row>
    <row r="203" spans="1:6" ht="12.75">
      <c r="A203" t="s">
        <v>318</v>
      </c>
      <c r="B203">
        <v>851</v>
      </c>
      <c r="C203">
        <v>7.7</v>
      </c>
      <c r="D203">
        <v>2.06</v>
      </c>
      <c r="E203">
        <v>0.9</v>
      </c>
      <c r="F203">
        <f t="shared" si="21"/>
        <v>0.9500000000000001</v>
      </c>
    </row>
    <row r="204" spans="1:6" ht="12.75">
      <c r="A204" s="8" t="s">
        <v>320</v>
      </c>
      <c r="B204">
        <v>851</v>
      </c>
      <c r="C204">
        <v>7.64</v>
      </c>
      <c r="D204">
        <v>2</v>
      </c>
      <c r="E204">
        <v>0.84</v>
      </c>
      <c r="F204">
        <f t="shared" si="21"/>
        <v>0.89</v>
      </c>
    </row>
    <row r="205" spans="1:6" ht="12.75">
      <c r="A205" s="8" t="s">
        <v>321</v>
      </c>
      <c r="B205">
        <v>851</v>
      </c>
      <c r="C205">
        <v>7.24</v>
      </c>
      <c r="D205">
        <v>1.6</v>
      </c>
      <c r="E205">
        <v>0.45</v>
      </c>
      <c r="F205">
        <f t="shared" si="21"/>
        <v>0.5</v>
      </c>
    </row>
    <row r="206" spans="1:6" ht="12.75">
      <c r="A206" s="8" t="s">
        <v>322</v>
      </c>
      <c r="B206">
        <v>851</v>
      </c>
      <c r="C206">
        <v>7.14</v>
      </c>
      <c r="D206">
        <v>1.5</v>
      </c>
      <c r="E206">
        <v>0.35</v>
      </c>
      <c r="F206">
        <f t="shared" si="21"/>
        <v>0.39999999999999997</v>
      </c>
    </row>
    <row r="207" spans="1:6" ht="12.75">
      <c r="A207" s="8" t="s">
        <v>323</v>
      </c>
      <c r="B207">
        <v>851</v>
      </c>
      <c r="C207">
        <v>6.74</v>
      </c>
      <c r="D207">
        <v>1.09</v>
      </c>
      <c r="E207">
        <v>-0.05</v>
      </c>
      <c r="F207">
        <f t="shared" si="21"/>
        <v>0</v>
      </c>
    </row>
    <row r="208" spans="1:6" ht="12.75">
      <c r="A208" s="8" t="s">
        <v>324</v>
      </c>
      <c r="B208">
        <v>851</v>
      </c>
      <c r="C208">
        <v>6.65</v>
      </c>
      <c r="D208">
        <v>1</v>
      </c>
      <c r="E208">
        <v>-0.14</v>
      </c>
      <c r="F208">
        <f t="shared" si="21"/>
        <v>-0.09000000000000001</v>
      </c>
    </row>
    <row r="209" spans="1:6" ht="12.75">
      <c r="A209" s="8" t="s">
        <v>325</v>
      </c>
      <c r="B209">
        <v>851</v>
      </c>
      <c r="C209">
        <v>6.23</v>
      </c>
      <c r="D209">
        <v>0.59</v>
      </c>
      <c r="E209">
        <v>-0.55</v>
      </c>
      <c r="F209">
        <f t="shared" si="21"/>
        <v>-0.5</v>
      </c>
    </row>
    <row r="210" spans="1:6" ht="12.75">
      <c r="A210" s="8" t="s">
        <v>326</v>
      </c>
      <c r="B210">
        <v>851</v>
      </c>
      <c r="C210">
        <v>5.73</v>
      </c>
      <c r="D210">
        <v>0.09</v>
      </c>
      <c r="E210">
        <v>-1.05</v>
      </c>
      <c r="F210">
        <f t="shared" si="21"/>
        <v>-1</v>
      </c>
    </row>
    <row r="211" ht="12.75">
      <c r="A211" s="8"/>
    </row>
    <row r="212" ht="12.75">
      <c r="A212" s="8"/>
    </row>
    <row r="213" ht="12.75">
      <c r="A213" s="8"/>
    </row>
    <row r="214" spans="1:6" ht="12.75">
      <c r="A214" s="8" t="s">
        <v>328</v>
      </c>
      <c r="B214">
        <v>994</v>
      </c>
      <c r="C214">
        <v>7.71</v>
      </c>
      <c r="D214">
        <v>2</v>
      </c>
      <c r="E214">
        <v>1.04</v>
      </c>
      <c r="F214">
        <f t="shared" si="21"/>
        <v>1.09</v>
      </c>
    </row>
    <row r="215" spans="1:6" ht="12.75">
      <c r="A215" t="s">
        <v>327</v>
      </c>
      <c r="B215">
        <v>994</v>
      </c>
      <c r="C215">
        <v>7.7</v>
      </c>
      <c r="D215">
        <v>1.99</v>
      </c>
      <c r="E215">
        <v>1.03</v>
      </c>
      <c r="F215">
        <f t="shared" si="21"/>
        <v>1.08</v>
      </c>
    </row>
    <row r="216" spans="1:6" ht="12.75">
      <c r="A216" s="8" t="s">
        <v>329</v>
      </c>
      <c r="B216">
        <v>994</v>
      </c>
      <c r="C216">
        <v>7.61</v>
      </c>
      <c r="D216">
        <v>1.9</v>
      </c>
      <c r="E216">
        <v>0.95</v>
      </c>
      <c r="F216">
        <f t="shared" si="21"/>
        <v>1</v>
      </c>
    </row>
    <row r="217" spans="1:6" ht="12.75">
      <c r="A217" s="8" t="s">
        <v>330</v>
      </c>
      <c r="B217">
        <v>994</v>
      </c>
      <c r="C217">
        <v>7.21</v>
      </c>
      <c r="D217">
        <v>1.5</v>
      </c>
      <c r="E217">
        <v>0.55</v>
      </c>
      <c r="F217">
        <f t="shared" si="21"/>
        <v>0.6000000000000001</v>
      </c>
    </row>
    <row r="218" spans="1:6" ht="12.75">
      <c r="A218" s="8" t="s">
        <v>331</v>
      </c>
      <c r="B218">
        <v>994</v>
      </c>
      <c r="C218">
        <v>7.11</v>
      </c>
      <c r="D218">
        <v>1.4</v>
      </c>
      <c r="E218">
        <v>0.45</v>
      </c>
      <c r="F218">
        <f t="shared" si="21"/>
        <v>0.5</v>
      </c>
    </row>
    <row r="219" spans="1:6" ht="12.75">
      <c r="A219" s="8" t="s">
        <v>332</v>
      </c>
      <c r="B219">
        <v>994</v>
      </c>
      <c r="C219">
        <v>6.71</v>
      </c>
      <c r="D219">
        <v>1</v>
      </c>
      <c r="E219">
        <v>0.05</v>
      </c>
      <c r="F219">
        <f t="shared" si="21"/>
        <v>0.1</v>
      </c>
    </row>
    <row r="220" spans="1:6" ht="12.75">
      <c r="A220" s="8" t="s">
        <v>333</v>
      </c>
      <c r="B220">
        <v>994</v>
      </c>
      <c r="C220">
        <v>6.61</v>
      </c>
      <c r="D220">
        <v>0.9</v>
      </c>
      <c r="E220">
        <v>-0.05</v>
      </c>
      <c r="F220">
        <f t="shared" si="21"/>
        <v>0</v>
      </c>
    </row>
    <row r="221" spans="1:6" ht="12.75">
      <c r="A221" s="8" t="s">
        <v>334</v>
      </c>
      <c r="B221">
        <v>994</v>
      </c>
      <c r="C221">
        <v>6.11</v>
      </c>
      <c r="D221">
        <v>0.4</v>
      </c>
      <c r="E221">
        <v>-0.55</v>
      </c>
      <c r="F221">
        <f t="shared" si="21"/>
        <v>-0.5</v>
      </c>
    </row>
    <row r="222" spans="1:6" ht="12.75">
      <c r="A222" s="8" t="s">
        <v>335</v>
      </c>
      <c r="B222">
        <v>994</v>
      </c>
      <c r="C222">
        <v>5.61</v>
      </c>
      <c r="D222">
        <v>-0.11</v>
      </c>
      <c r="E222">
        <v>-1.05</v>
      </c>
      <c r="F222">
        <f t="shared" si="21"/>
        <v>-1</v>
      </c>
    </row>
  </sheetData>
  <sheetProtection/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zoomScalePageLayoutView="0" workbookViewId="0" topLeftCell="A1">
      <selection activeCell="U13" sqref="U13"/>
    </sheetView>
  </sheetViews>
  <sheetFormatPr defaultColWidth="9.140625" defaultRowHeight="12.75"/>
  <cols>
    <col min="1" max="1" width="9.421875" style="0" customWidth="1"/>
    <col min="2" max="5" width="5.7109375" style="0" customWidth="1"/>
    <col min="6" max="6" width="6.7109375" style="0" customWidth="1"/>
    <col min="7" max="10" width="5.7109375" style="0" customWidth="1"/>
    <col min="11" max="11" width="6.7109375" style="0" customWidth="1"/>
    <col min="12" max="12" width="5.7109375" style="0" customWidth="1"/>
    <col min="13" max="13" width="6.8515625" style="0" customWidth="1"/>
    <col min="14" max="15" width="5.7109375" style="0" customWidth="1"/>
    <col min="16" max="16" width="7.421875" style="0" customWidth="1"/>
    <col min="17" max="17" width="7.00390625" style="0" customWidth="1"/>
    <col min="18" max="18" width="8.8515625" style="0" customWidth="1"/>
    <col min="19" max="19" width="6.7109375" style="0" customWidth="1"/>
    <col min="20" max="20" width="5.7109375" style="0" customWidth="1"/>
    <col min="21" max="21" width="9.00390625" style="0" customWidth="1"/>
  </cols>
  <sheetData>
    <row r="1" spans="1:21" ht="67.5">
      <c r="A1" s="19" t="s">
        <v>0</v>
      </c>
      <c r="B1" s="19" t="s">
        <v>1</v>
      </c>
      <c r="C1" s="20" t="s">
        <v>49</v>
      </c>
      <c r="D1" s="18" t="s">
        <v>3</v>
      </c>
      <c r="E1" s="18" t="s">
        <v>4</v>
      </c>
      <c r="F1" s="18" t="s">
        <v>5</v>
      </c>
      <c r="G1" s="18" t="s">
        <v>8</v>
      </c>
      <c r="H1" s="18" t="s">
        <v>9</v>
      </c>
      <c r="I1" s="18" t="s">
        <v>10</v>
      </c>
      <c r="J1" s="18" t="s">
        <v>11</v>
      </c>
      <c r="K1" s="12" t="s">
        <v>12</v>
      </c>
      <c r="L1" s="12" t="s">
        <v>13</v>
      </c>
      <c r="M1" s="13" t="s">
        <v>14</v>
      </c>
      <c r="N1" s="21" t="s">
        <v>15</v>
      </c>
      <c r="O1" s="22" t="s">
        <v>64</v>
      </c>
      <c r="P1" s="23" t="s">
        <v>16</v>
      </c>
      <c r="Q1" s="23" t="s">
        <v>17</v>
      </c>
      <c r="R1" s="23" t="s">
        <v>18</v>
      </c>
      <c r="S1" s="22" t="s">
        <v>19</v>
      </c>
      <c r="T1" s="21" t="s">
        <v>20</v>
      </c>
      <c r="U1" s="24" t="s">
        <v>66</v>
      </c>
    </row>
    <row r="2" spans="1:21" ht="22.5">
      <c r="A2" s="11" t="s">
        <v>227</v>
      </c>
      <c r="B2" s="32"/>
      <c r="C2" s="20"/>
      <c r="D2" s="18"/>
      <c r="E2" s="18"/>
      <c r="F2" s="18"/>
      <c r="G2" s="18"/>
      <c r="H2" s="18"/>
      <c r="I2" s="18"/>
      <c r="J2" s="18"/>
      <c r="K2" s="12"/>
      <c r="L2" s="12"/>
      <c r="M2" s="13"/>
      <c r="N2" s="33"/>
      <c r="O2" s="34"/>
      <c r="P2" s="35"/>
      <c r="Q2" s="35"/>
      <c r="R2" s="35"/>
      <c r="S2" s="34"/>
      <c r="T2" s="33"/>
      <c r="U2" s="36"/>
    </row>
    <row r="3" spans="1:21" ht="12.75">
      <c r="A3" s="11" t="s">
        <v>146</v>
      </c>
      <c r="B3" s="11">
        <v>6.5</v>
      </c>
      <c r="C3" s="1">
        <v>2</v>
      </c>
      <c r="D3" s="1">
        <v>0.5</v>
      </c>
      <c r="E3" s="1">
        <v>0.3</v>
      </c>
      <c r="F3" s="12">
        <v>6</v>
      </c>
      <c r="G3" s="1">
        <v>2.5</v>
      </c>
      <c r="H3" s="12"/>
      <c r="I3" s="12"/>
      <c r="J3" s="1">
        <v>0.5</v>
      </c>
      <c r="K3" s="1">
        <v>20.9709158069807</v>
      </c>
      <c r="L3" s="1">
        <v>0.0032696980517749664</v>
      </c>
      <c r="M3" s="1">
        <v>20.97424</v>
      </c>
      <c r="N3" s="3">
        <v>0.34384000000000003</v>
      </c>
      <c r="O3" s="5">
        <v>37.631976038542994</v>
      </c>
      <c r="P3" s="1">
        <v>0.42346036599473463</v>
      </c>
      <c r="Q3" s="1">
        <v>0.42467920187793434</v>
      </c>
      <c r="R3" s="1">
        <v>-0.0012188358831997093</v>
      </c>
      <c r="S3" s="5">
        <v>-0.14370699462316475</v>
      </c>
      <c r="T3" s="1">
        <v>0.848139567872669</v>
      </c>
      <c r="U3" s="2">
        <v>44.50873277486466</v>
      </c>
    </row>
    <row r="4" spans="1:21" ht="12.75">
      <c r="A4" s="10" t="s">
        <v>50</v>
      </c>
      <c r="B4" s="3">
        <v>7.1</v>
      </c>
      <c r="C4" s="1">
        <v>2</v>
      </c>
      <c r="D4" s="1">
        <v>0.5</v>
      </c>
      <c r="E4" s="1">
        <v>0.5</v>
      </c>
      <c r="F4" s="1">
        <v>10</v>
      </c>
      <c r="G4" s="1">
        <v>2.5</v>
      </c>
      <c r="H4" s="1">
        <v>0</v>
      </c>
      <c r="I4" s="1">
        <v>0</v>
      </c>
      <c r="J4" s="1">
        <v>0.5</v>
      </c>
      <c r="K4" s="1">
        <v>34.13844649711256</v>
      </c>
      <c r="L4" s="1">
        <v>0.021200166774534384</v>
      </c>
      <c r="M4" s="1">
        <v>34.16</v>
      </c>
      <c r="N4" s="3">
        <v>0.56</v>
      </c>
      <c r="O4" s="5">
        <v>40.97116224261412</v>
      </c>
      <c r="P4" s="1">
        <v>0.6395220697477224</v>
      </c>
      <c r="Q4" s="1">
        <v>0.6408392018779343</v>
      </c>
      <c r="R4" s="1">
        <v>-0.0013171321302118955</v>
      </c>
      <c r="S4" s="5">
        <v>-0.10287191274846602</v>
      </c>
      <c r="T4" s="1">
        <v>1.2803612716256567</v>
      </c>
      <c r="U4" s="2">
        <v>65.65855541509684</v>
      </c>
    </row>
    <row r="5" spans="1:21" ht="12.75">
      <c r="A5" s="10" t="s">
        <v>57</v>
      </c>
      <c r="B5" s="3">
        <v>7.7</v>
      </c>
      <c r="C5" s="1">
        <v>2</v>
      </c>
      <c r="D5" s="1">
        <v>0.5</v>
      </c>
      <c r="E5" s="1">
        <v>1.2</v>
      </c>
      <c r="F5" s="1">
        <v>24</v>
      </c>
      <c r="G5" s="1">
        <v>2.5</v>
      </c>
      <c r="H5" s="1">
        <v>0</v>
      </c>
      <c r="I5" s="1">
        <v>0</v>
      </c>
      <c r="J5" s="1">
        <v>0.5</v>
      </c>
      <c r="K5" s="1">
        <v>80.10842999878362</v>
      </c>
      <c r="L5" s="1">
        <v>0.19842295201609442</v>
      </c>
      <c r="M5" s="1">
        <v>80.31015999999998</v>
      </c>
      <c r="N5" s="3">
        <v>1.3165599999999997</v>
      </c>
      <c r="O5" s="5">
        <v>84.32178519293115</v>
      </c>
      <c r="P5" s="1">
        <v>1.39573803288318</v>
      </c>
      <c r="Q5" s="1">
        <v>1.397399201877934</v>
      </c>
      <c r="R5" s="1">
        <v>-0.001661168994753881</v>
      </c>
      <c r="S5" s="5">
        <v>-0.05947323225226182</v>
      </c>
      <c r="T5" s="1">
        <v>2.7931372347611143</v>
      </c>
      <c r="U5" s="2">
        <v>138.08872869053548</v>
      </c>
    </row>
    <row r="6" spans="1:21" ht="12.75">
      <c r="A6" s="10" t="s">
        <v>63</v>
      </c>
      <c r="B6" s="3">
        <v>7.7</v>
      </c>
      <c r="C6" s="1">
        <v>2</v>
      </c>
      <c r="D6" s="1">
        <v>0.5</v>
      </c>
      <c r="E6" s="1">
        <v>1.8</v>
      </c>
      <c r="F6" s="1">
        <v>36</v>
      </c>
      <c r="G6" s="1">
        <v>2.5</v>
      </c>
      <c r="H6" s="1">
        <v>0</v>
      </c>
      <c r="I6" s="1">
        <v>0</v>
      </c>
      <c r="J6" s="1">
        <v>0.5</v>
      </c>
      <c r="K6" s="1">
        <v>119.56634660388418</v>
      </c>
      <c r="L6" s="1">
        <v>0.29615743880241396</v>
      </c>
      <c r="M6" s="1">
        <v>119.86743999999997</v>
      </c>
      <c r="N6" s="3">
        <v>1.9650399999999995</v>
      </c>
      <c r="O6" s="5">
        <v>125.85501669161863</v>
      </c>
      <c r="P6" s="1">
        <v>2.0439231441421435</v>
      </c>
      <c r="Q6" s="1">
        <v>2.045879201877934</v>
      </c>
      <c r="R6" s="1">
        <v>-0.0019560577357906617</v>
      </c>
      <c r="S6" s="5">
        <v>-0.04782768384135157</v>
      </c>
      <c r="T6" s="1">
        <v>4.089802346020077</v>
      </c>
      <c r="U6" s="2">
        <v>198.59886927044352</v>
      </c>
    </row>
    <row r="7" spans="1:21" ht="12.75">
      <c r="A7" s="10" t="s">
        <v>76</v>
      </c>
      <c r="B7" s="3">
        <v>7.7</v>
      </c>
      <c r="C7" s="1">
        <v>2</v>
      </c>
      <c r="D7" s="1">
        <v>0.5</v>
      </c>
      <c r="E7" s="1">
        <v>2.8</v>
      </c>
      <c r="F7" s="1">
        <v>56</v>
      </c>
      <c r="G7" s="1">
        <v>2.5</v>
      </c>
      <c r="H7" s="1">
        <v>0</v>
      </c>
      <c r="I7" s="1">
        <v>0</v>
      </c>
      <c r="J7" s="1">
        <v>0.5</v>
      </c>
      <c r="K7" s="1">
        <v>185.32954094571858</v>
      </c>
      <c r="L7" s="1">
        <v>0.45904825011294687</v>
      </c>
      <c r="M7" s="1">
        <v>185.79624000000007</v>
      </c>
      <c r="N7" s="3">
        <v>3.045840000000001</v>
      </c>
      <c r="O7" s="5">
        <v>195.07706918943123</v>
      </c>
      <c r="P7" s="1">
        <v>3.124231662907083</v>
      </c>
      <c r="Q7" s="1">
        <v>3.1266792018779355</v>
      </c>
      <c r="R7" s="1">
        <v>-0.002447538970852481</v>
      </c>
      <c r="S7" s="5">
        <v>-0.03915491716000748</v>
      </c>
      <c r="T7" s="1">
        <v>6.250910864785018</v>
      </c>
      <c r="U7" s="2">
        <v>296.95233075767806</v>
      </c>
    </row>
    <row r="8" spans="1:21" ht="12.75">
      <c r="A8" s="10" t="s">
        <v>83</v>
      </c>
      <c r="B8" s="3">
        <v>7.7</v>
      </c>
      <c r="C8" s="1">
        <v>2</v>
      </c>
      <c r="D8" s="1">
        <v>0.5</v>
      </c>
      <c r="E8" s="1">
        <v>3.5</v>
      </c>
      <c r="F8" s="1">
        <v>70</v>
      </c>
      <c r="G8" s="1">
        <v>2.5</v>
      </c>
      <c r="H8" s="1">
        <v>0</v>
      </c>
      <c r="I8" s="1">
        <v>0</v>
      </c>
      <c r="J8" s="1">
        <v>0.5</v>
      </c>
      <c r="K8" s="1">
        <v>231.36377698500263</v>
      </c>
      <c r="L8" s="1">
        <v>0.5730718180303199</v>
      </c>
      <c r="M8" s="1">
        <v>231.94640000000012</v>
      </c>
      <c r="N8" s="3">
        <v>3.8024000000000022</v>
      </c>
      <c r="O8" s="5">
        <v>243.53250593790003</v>
      </c>
      <c r="P8" s="1">
        <v>3.8804476260425407</v>
      </c>
      <c r="Q8" s="1">
        <v>3.8832392018779363</v>
      </c>
      <c r="R8" s="1">
        <v>-0.0027915758353955766</v>
      </c>
      <c r="S8" s="5">
        <v>-0.035956832073084886</v>
      </c>
      <c r="T8" s="1">
        <v>7.763686827920477</v>
      </c>
      <c r="U8" s="2">
        <v>364.2244315673594</v>
      </c>
    </row>
    <row r="9" spans="1:21" ht="12.75">
      <c r="A9" s="10" t="s">
        <v>89</v>
      </c>
      <c r="B9" s="3">
        <v>7.7</v>
      </c>
      <c r="C9" s="1">
        <v>2</v>
      </c>
      <c r="D9" s="1">
        <v>0.5</v>
      </c>
      <c r="E9" s="1">
        <v>4.1</v>
      </c>
      <c r="F9" s="1">
        <v>82</v>
      </c>
      <c r="G9" s="1">
        <v>2.5</v>
      </c>
      <c r="H9" s="1">
        <v>0</v>
      </c>
      <c r="I9" s="1">
        <v>0</v>
      </c>
      <c r="J9" s="1">
        <v>0.5</v>
      </c>
      <c r="K9" s="1">
        <v>270.8216935901033</v>
      </c>
      <c r="L9" s="1">
        <v>0.6708063048166398</v>
      </c>
      <c r="M9" s="1">
        <v>271.5036800000002</v>
      </c>
      <c r="N9" s="3">
        <v>4.450880000000003</v>
      </c>
      <c r="O9" s="5">
        <v>285.06573743658765</v>
      </c>
      <c r="P9" s="1">
        <v>4.528632737301504</v>
      </c>
      <c r="Q9" s="1">
        <v>4.531719201877937</v>
      </c>
      <c r="R9" s="1">
        <v>-0.0030864645764330234</v>
      </c>
      <c r="S9" s="5">
        <v>-0.03406561463784101</v>
      </c>
      <c r="T9" s="1">
        <v>9.06035193917944</v>
      </c>
      <c r="U9" s="2">
        <v>420.97533558030676</v>
      </c>
    </row>
    <row r="10" spans="1:21" ht="12.75">
      <c r="A10" s="10" t="s">
        <v>98</v>
      </c>
      <c r="B10" s="3">
        <v>7.7</v>
      </c>
      <c r="C10" s="1">
        <v>2</v>
      </c>
      <c r="D10" s="1">
        <v>0.5</v>
      </c>
      <c r="E10" s="1">
        <v>5</v>
      </c>
      <c r="F10" s="1">
        <v>100</v>
      </c>
      <c r="G10" s="1">
        <v>2.5</v>
      </c>
      <c r="H10" s="1">
        <v>0</v>
      </c>
      <c r="I10" s="1">
        <v>0</v>
      </c>
      <c r="J10" s="1">
        <v>0.5</v>
      </c>
      <c r="K10" s="1">
        <v>330.00856849775425</v>
      </c>
      <c r="L10" s="1">
        <v>0.8174080349961194</v>
      </c>
      <c r="M10" s="1">
        <v>330.8396000000003</v>
      </c>
      <c r="N10" s="3">
        <v>5.423600000000005</v>
      </c>
      <c r="O10" s="5">
        <v>347.36558468461897</v>
      </c>
      <c r="P10" s="1">
        <v>5.500910404189949</v>
      </c>
      <c r="Q10" s="1">
        <v>5.50443920187794</v>
      </c>
      <c r="R10" s="1">
        <v>-0.003528797687990526</v>
      </c>
      <c r="S10" s="5">
        <v>-0.03206438517904869</v>
      </c>
      <c r="T10" s="1">
        <v>11.005349606067888</v>
      </c>
      <c r="U10" s="2">
        <v>504.66647189012315</v>
      </c>
    </row>
    <row r="11" spans="1:21" ht="12.75">
      <c r="A11" s="10" t="s">
        <v>103</v>
      </c>
      <c r="B11" s="3">
        <v>7.7</v>
      </c>
      <c r="C11" s="1">
        <v>2</v>
      </c>
      <c r="D11" s="1">
        <v>0.5</v>
      </c>
      <c r="E11" s="1">
        <v>5.5</v>
      </c>
      <c r="F11" s="1">
        <v>110</v>
      </c>
      <c r="G11" s="1">
        <v>2.5</v>
      </c>
      <c r="H11" s="1">
        <v>0</v>
      </c>
      <c r="I11" s="1">
        <v>0</v>
      </c>
      <c r="J11" s="1">
        <v>0.5</v>
      </c>
      <c r="K11" s="1">
        <v>362.89016566867144</v>
      </c>
      <c r="L11" s="1">
        <v>0.8988534406513858</v>
      </c>
      <c r="M11" s="1">
        <v>363.80400000000037</v>
      </c>
      <c r="N11" s="3">
        <v>5.964000000000006</v>
      </c>
      <c r="O11" s="5">
        <v>381.97661093352525</v>
      </c>
      <c r="P11" s="1">
        <v>6.041064663572419</v>
      </c>
      <c r="Q11" s="1">
        <v>6.04483920187794</v>
      </c>
      <c r="R11" s="1">
        <v>-0.0037745383055209913</v>
      </c>
      <c r="S11" s="5">
        <v>-0.031230914522753738</v>
      </c>
      <c r="T11" s="1">
        <v>12.085903865450359</v>
      </c>
      <c r="U11" s="2">
        <v>550.4696472797893</v>
      </c>
    </row>
    <row r="12" spans="1:21" ht="12.75">
      <c r="A12" s="10" t="s">
        <v>108</v>
      </c>
      <c r="B12" s="3">
        <v>7.7</v>
      </c>
      <c r="C12" s="1">
        <v>2</v>
      </c>
      <c r="D12" s="1">
        <v>0.5</v>
      </c>
      <c r="E12" s="1">
        <v>6</v>
      </c>
      <c r="F12" s="1">
        <v>120</v>
      </c>
      <c r="G12" s="1">
        <v>2.5</v>
      </c>
      <c r="H12" s="1">
        <v>0</v>
      </c>
      <c r="I12" s="1">
        <v>0</v>
      </c>
      <c r="J12" s="1">
        <v>0.5</v>
      </c>
      <c r="K12" s="1">
        <v>395.77176283958863</v>
      </c>
      <c r="L12" s="1">
        <v>0.9802988463066523</v>
      </c>
      <c r="M12" s="1">
        <v>396.7684000000004</v>
      </c>
      <c r="N12" s="3">
        <v>6.504400000000007</v>
      </c>
      <c r="O12" s="5">
        <v>416.58763718243154</v>
      </c>
      <c r="P12" s="1">
        <v>6.581218922954888</v>
      </c>
      <c r="Q12" s="1">
        <v>6.585239201877941</v>
      </c>
      <c r="R12" s="1">
        <v>-0.004020278923052345</v>
      </c>
      <c r="S12" s="5">
        <v>-0.030534247592902963</v>
      </c>
      <c r="T12" s="1">
        <v>13.166458124832829</v>
      </c>
      <c r="U12" s="2">
        <v>595.8078219243055</v>
      </c>
    </row>
  </sheetData>
  <sheetProtection/>
  <printOptions/>
  <pageMargins left="0.5511811023622047" right="0.7480314960629921" top="0.984251968503937" bottom="0.984251968503937" header="0.5118110236220472" footer="0.5118110236220472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33"/>
  <sheetViews>
    <sheetView tabSelected="1" zoomScale="200" zoomScaleNormal="200" zoomScalePageLayoutView="0" workbookViewId="0" topLeftCell="A1">
      <selection activeCell="P17" sqref="P17"/>
    </sheetView>
  </sheetViews>
  <sheetFormatPr defaultColWidth="9.140625" defaultRowHeight="12.75"/>
  <cols>
    <col min="1" max="1" width="11.421875" style="0" customWidth="1"/>
    <col min="2" max="2" width="4.57421875" style="0" customWidth="1"/>
    <col min="3" max="3" width="7.7109375" style="0" bestFit="1" customWidth="1"/>
    <col min="4" max="4" width="8.28125" style="0" customWidth="1"/>
    <col min="5" max="5" width="5.00390625" style="0" bestFit="1" customWidth="1"/>
    <col min="6" max="6" width="5.57421875" style="0" bestFit="1" customWidth="1"/>
    <col min="7" max="7" width="6.57421875" style="0" bestFit="1" customWidth="1"/>
    <col min="8" max="9" width="2.421875" style="0" customWidth="1"/>
    <col min="10" max="10" width="5.57421875" style="0" bestFit="1" customWidth="1"/>
    <col min="11" max="11" width="5.00390625" style="0" bestFit="1" customWidth="1"/>
    <col min="12" max="12" width="4.7109375" style="0" bestFit="1" customWidth="1"/>
    <col min="13" max="13" width="6.57421875" style="0" bestFit="1" customWidth="1"/>
    <col min="14" max="14" width="7.00390625" style="0" customWidth="1"/>
    <col min="15" max="15" width="5.00390625" style="0" bestFit="1" customWidth="1"/>
    <col min="16" max="16" width="9.421875" style="0" customWidth="1"/>
    <col min="17" max="17" width="8.8515625" style="0" customWidth="1"/>
    <col min="18" max="18" width="7.00390625" style="5" customWidth="1"/>
    <col min="19" max="19" width="6.57421875" style="0" customWidth="1"/>
    <col min="20" max="20" width="6.28125" style="0" customWidth="1"/>
    <col min="21" max="21" width="4.421875" style="0" customWidth="1"/>
    <col min="22" max="22" width="5.7109375" style="0" customWidth="1"/>
    <col min="23" max="23" width="5.00390625" style="0" customWidth="1"/>
    <col min="24" max="24" width="4.28125" style="0" customWidth="1"/>
    <col min="25" max="25" width="5.00390625" style="0" customWidth="1"/>
    <col min="26" max="26" width="6.8515625" style="0" customWidth="1"/>
    <col min="27" max="27" width="7.00390625" style="0" customWidth="1"/>
    <col min="28" max="28" width="5.7109375" style="0" customWidth="1"/>
    <col min="29" max="29" width="7.140625" style="0" customWidth="1"/>
    <col min="30" max="30" width="7.28125" style="0" customWidth="1"/>
    <col min="31" max="31" width="7.421875" style="0" customWidth="1"/>
    <col min="32" max="32" width="6.8515625" style="0" customWidth="1"/>
    <col min="33" max="33" width="9.421875" style="0" customWidth="1"/>
    <col min="34" max="34" width="7.00390625" style="0" customWidth="1"/>
    <col min="35" max="35" width="7.28125" style="0" bestFit="1" customWidth="1"/>
    <col min="36" max="37" width="7.7109375" style="0" customWidth="1"/>
    <col min="38" max="38" width="9.7109375" style="6" customWidth="1"/>
    <col min="39" max="39" width="4.00390625" style="16" bestFit="1" customWidth="1"/>
    <col min="40" max="40" width="5.7109375" style="16" bestFit="1" customWidth="1"/>
    <col min="41" max="42" width="4.8515625" style="16" bestFit="1" customWidth="1"/>
    <col min="43" max="44" width="4.00390625" style="16" bestFit="1" customWidth="1"/>
    <col min="45" max="46" width="5.7109375" style="16" bestFit="1" customWidth="1"/>
    <col min="48" max="48" width="12.8515625" style="0" customWidth="1"/>
  </cols>
  <sheetData>
    <row r="1" spans="1:30" ht="12.75">
      <c r="A1" s="6" t="s">
        <v>21</v>
      </c>
      <c r="B1" s="6"/>
      <c r="D1">
        <v>2.13</v>
      </c>
      <c r="E1">
        <v>1.84</v>
      </c>
      <c r="F1">
        <v>3.82</v>
      </c>
      <c r="G1">
        <v>2.6</v>
      </c>
      <c r="J1">
        <v>2.14</v>
      </c>
      <c r="K1">
        <v>1.15</v>
      </c>
      <c r="M1">
        <v>1.54</v>
      </c>
      <c r="N1">
        <v>0.72</v>
      </c>
      <c r="O1">
        <v>2.82</v>
      </c>
      <c r="AD1" t="s">
        <v>48</v>
      </c>
    </row>
    <row r="2" spans="1:30" ht="12.75">
      <c r="A2" s="6" t="s">
        <v>23</v>
      </c>
      <c r="B2" s="6"/>
      <c r="S2">
        <v>50.1</v>
      </c>
      <c r="T2">
        <v>73.5</v>
      </c>
      <c r="U2">
        <v>53.1</v>
      </c>
      <c r="V2">
        <v>59.5</v>
      </c>
      <c r="Y2">
        <v>76.3</v>
      </c>
      <c r="Z2">
        <v>71.4</v>
      </c>
      <c r="AB2">
        <v>79.8</v>
      </c>
      <c r="AC2">
        <v>44.5</v>
      </c>
      <c r="AD2" s="6">
        <v>69.3</v>
      </c>
    </row>
    <row r="3" spans="1:4" ht="15.75">
      <c r="A3" s="6" t="s">
        <v>42</v>
      </c>
      <c r="B3" s="6"/>
      <c r="D3" s="8" t="s">
        <v>24</v>
      </c>
    </row>
    <row r="4" spans="1:4" ht="15.75">
      <c r="A4" s="6" t="s">
        <v>25</v>
      </c>
      <c r="B4" s="6"/>
      <c r="D4" t="s">
        <v>39</v>
      </c>
    </row>
    <row r="5" spans="1:4" ht="15.75">
      <c r="A5" s="6" t="s">
        <v>26</v>
      </c>
      <c r="B5" s="6"/>
      <c r="D5" t="s">
        <v>40</v>
      </c>
    </row>
    <row r="6" spans="1:4" ht="15.75">
      <c r="A6" s="6" t="s">
        <v>27</v>
      </c>
      <c r="B6" s="6"/>
      <c r="D6" t="s">
        <v>45</v>
      </c>
    </row>
    <row r="7" spans="1:4" ht="15.75">
      <c r="A7" s="6" t="s">
        <v>28</v>
      </c>
      <c r="B7" s="6"/>
      <c r="D7" t="s">
        <v>38</v>
      </c>
    </row>
    <row r="8" spans="1:4" ht="15.75">
      <c r="A8" s="6" t="s">
        <v>29</v>
      </c>
      <c r="B8" s="6"/>
      <c r="D8" s="9" t="s">
        <v>37</v>
      </c>
    </row>
    <row r="9" spans="1:49" ht="15.75">
      <c r="A9" s="6" t="s">
        <v>30</v>
      </c>
      <c r="B9" s="6"/>
      <c r="D9" s="9" t="s">
        <v>36</v>
      </c>
      <c r="AW9">
        <v>6</v>
      </c>
    </row>
    <row r="10" spans="1:49" ht="15.75">
      <c r="A10" s="6" t="s">
        <v>31</v>
      </c>
      <c r="B10" s="6"/>
      <c r="D10" s="9" t="s">
        <v>35</v>
      </c>
      <c r="AW10">
        <v>7</v>
      </c>
    </row>
    <row r="11" spans="1:49" ht="15.75">
      <c r="A11" s="6" t="s">
        <v>33</v>
      </c>
      <c r="B11" s="6"/>
      <c r="D11" t="s">
        <v>34</v>
      </c>
      <c r="AW11">
        <v>8</v>
      </c>
    </row>
    <row r="12" spans="1:4" ht="15.75">
      <c r="A12" s="6" t="s">
        <v>32</v>
      </c>
      <c r="B12" s="6"/>
      <c r="D12" t="s">
        <v>41</v>
      </c>
    </row>
    <row r="13" spans="1:30" ht="12.75">
      <c r="A13" s="6" t="s">
        <v>46</v>
      </c>
      <c r="B13" s="6"/>
      <c r="S13" t="s">
        <v>47</v>
      </c>
      <c r="T13" t="s">
        <v>47</v>
      </c>
      <c r="U13" t="s">
        <v>47</v>
      </c>
      <c r="V13" t="s">
        <v>47</v>
      </c>
      <c r="W13" t="s">
        <v>47</v>
      </c>
      <c r="X13" t="s">
        <v>47</v>
      </c>
      <c r="Y13" t="s">
        <v>47</v>
      </c>
      <c r="Z13" t="s">
        <v>47</v>
      </c>
      <c r="AA13" t="s">
        <v>47</v>
      </c>
      <c r="AB13" t="s">
        <v>47</v>
      </c>
      <c r="AC13" t="s">
        <v>47</v>
      </c>
      <c r="AD13" t="s">
        <v>47</v>
      </c>
    </row>
    <row r="14" spans="1:46" s="15" customFormat="1" ht="45">
      <c r="A14" s="19" t="s">
        <v>0</v>
      </c>
      <c r="B14" s="19" t="s">
        <v>65</v>
      </c>
      <c r="C14" s="19" t="s">
        <v>1</v>
      </c>
      <c r="D14" s="20" t="s">
        <v>49</v>
      </c>
      <c r="E14" s="18" t="s">
        <v>3</v>
      </c>
      <c r="F14" s="18" t="s">
        <v>4</v>
      </c>
      <c r="G14" s="18" t="s">
        <v>5</v>
      </c>
      <c r="H14" s="18" t="s">
        <v>6</v>
      </c>
      <c r="I14" s="18" t="s">
        <v>7</v>
      </c>
      <c r="J14" s="18" t="s">
        <v>8</v>
      </c>
      <c r="K14" s="18" t="s">
        <v>9</v>
      </c>
      <c r="L14" s="18" t="s">
        <v>10</v>
      </c>
      <c r="M14" s="18" t="s">
        <v>11</v>
      </c>
      <c r="N14" s="12" t="s">
        <v>12</v>
      </c>
      <c r="O14" s="12" t="s">
        <v>13</v>
      </c>
      <c r="P14" s="13" t="s">
        <v>14</v>
      </c>
      <c r="Q14" s="21" t="s">
        <v>15</v>
      </c>
      <c r="R14" s="22" t="s">
        <v>64</v>
      </c>
      <c r="S14" s="18" t="s">
        <v>2</v>
      </c>
      <c r="T14" s="18" t="s">
        <v>3</v>
      </c>
      <c r="U14" s="18" t="s">
        <v>4</v>
      </c>
      <c r="V14" s="18" t="s">
        <v>5</v>
      </c>
      <c r="W14" s="18" t="s">
        <v>6</v>
      </c>
      <c r="X14" s="18" t="s">
        <v>7</v>
      </c>
      <c r="Y14" s="18" t="s">
        <v>8</v>
      </c>
      <c r="Z14" s="18" t="s">
        <v>9</v>
      </c>
      <c r="AA14" s="18" t="s">
        <v>10</v>
      </c>
      <c r="AB14" s="18" t="s">
        <v>11</v>
      </c>
      <c r="AC14" s="12" t="s">
        <v>12</v>
      </c>
      <c r="AD14" s="12" t="s">
        <v>13</v>
      </c>
      <c r="AE14" s="23" t="s">
        <v>16</v>
      </c>
      <c r="AF14" s="23" t="s">
        <v>17</v>
      </c>
      <c r="AG14" s="23" t="s">
        <v>18</v>
      </c>
      <c r="AH14" s="22" t="s">
        <v>19</v>
      </c>
      <c r="AI14" s="21" t="s">
        <v>20</v>
      </c>
      <c r="AJ14" s="21" t="s">
        <v>43</v>
      </c>
      <c r="AK14" s="21" t="s">
        <v>277</v>
      </c>
      <c r="AL14" s="24" t="s">
        <v>66</v>
      </c>
      <c r="AM14" s="12" t="s">
        <v>44</v>
      </c>
      <c r="AN14" s="17" t="s">
        <v>109</v>
      </c>
      <c r="AO14" s="17" t="s">
        <v>110</v>
      </c>
      <c r="AP14" s="17" t="s">
        <v>111</v>
      </c>
      <c r="AQ14" s="18" t="s">
        <v>112</v>
      </c>
      <c r="AR14" s="18" t="s">
        <v>113</v>
      </c>
      <c r="AS14" s="18" t="s">
        <v>114</v>
      </c>
      <c r="AT14" s="18" t="s">
        <v>115</v>
      </c>
    </row>
    <row r="15" spans="1:46" s="15" customFormat="1" ht="11.25">
      <c r="A15" s="37" t="s">
        <v>229</v>
      </c>
      <c r="B15" s="32"/>
      <c r="C15" s="32"/>
      <c r="D15" s="20"/>
      <c r="E15" s="18"/>
      <c r="F15" s="18"/>
      <c r="G15" s="18"/>
      <c r="H15" s="18"/>
      <c r="I15" s="18"/>
      <c r="J15" s="18"/>
      <c r="K15" s="18"/>
      <c r="L15" s="18"/>
      <c r="M15" s="18"/>
      <c r="N15" s="12"/>
      <c r="O15" s="12"/>
      <c r="P15" s="13"/>
      <c r="Q15" s="33"/>
      <c r="R15" s="34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2"/>
      <c r="AD15" s="12"/>
      <c r="AE15" s="35"/>
      <c r="AF15" s="35"/>
      <c r="AG15" s="35"/>
      <c r="AH15" s="34"/>
      <c r="AI15" s="33"/>
      <c r="AJ15" s="33"/>
      <c r="AK15" s="33"/>
      <c r="AL15" s="36"/>
      <c r="AM15" s="12"/>
      <c r="AN15" s="17"/>
      <c r="AO15" s="17"/>
      <c r="AP15" s="17"/>
      <c r="AQ15" s="18"/>
      <c r="AR15" s="18"/>
      <c r="AS15" s="18"/>
      <c r="AT15" s="18"/>
    </row>
    <row r="16" spans="1:46" s="15" customFormat="1" ht="12.75">
      <c r="A16" s="32" t="s">
        <v>226</v>
      </c>
      <c r="B16" s="32"/>
      <c r="C16" s="11">
        <v>6.5</v>
      </c>
      <c r="D16" s="1">
        <v>2</v>
      </c>
      <c r="E16" s="1">
        <v>0.5</v>
      </c>
      <c r="F16" s="1">
        <v>0</v>
      </c>
      <c r="G16" s="12">
        <v>0</v>
      </c>
      <c r="H16" s="12"/>
      <c r="I16" s="12"/>
      <c r="J16" s="1">
        <v>2.5</v>
      </c>
      <c r="K16" s="12"/>
      <c r="L16" s="12"/>
      <c r="M16" s="1">
        <v>0.5</v>
      </c>
      <c r="N16" s="1">
        <f>Q16*61*(1-10^-10.3/10^-C16)</f>
        <v>1.2198066430305197</v>
      </c>
      <c r="O16" s="1">
        <f>Q16*60*10^-10.3/10^-C16</f>
        <v>0.00019018718309533308</v>
      </c>
      <c r="P16" s="1">
        <f>Q16*61</f>
        <v>1.22</v>
      </c>
      <c r="Q16" s="3">
        <v>0.02</v>
      </c>
      <c r="R16" s="1">
        <f>(10^(-C16))*N16/10^-6.4+N16+O16</f>
        <v>2.188923687677</v>
      </c>
      <c r="S16" s="4">
        <f>D16/23.1</f>
        <v>0.08658008658008658</v>
      </c>
      <c r="T16" s="4">
        <f>E16/39.1</f>
        <v>0.01278772378516624</v>
      </c>
      <c r="U16" s="4">
        <f>F16/12.15</f>
        <v>0</v>
      </c>
      <c r="V16" s="4">
        <f>G16/20.04</f>
        <v>0</v>
      </c>
      <c r="W16" s="4">
        <f>H16/37.85</f>
        <v>0</v>
      </c>
      <c r="X16" s="4">
        <f>I16/19</f>
        <v>0</v>
      </c>
      <c r="Y16" s="4">
        <f>J16/35.5</f>
        <v>0.07042253521126761</v>
      </c>
      <c r="Z16" s="4">
        <f>K16/62</f>
        <v>0</v>
      </c>
      <c r="AA16" s="4">
        <f aca="true" t="shared" si="0" ref="AA16:AB19">L16/48</f>
        <v>0</v>
      </c>
      <c r="AB16" s="4">
        <f t="shared" si="0"/>
        <v>0.010416666666666666</v>
      </c>
      <c r="AC16" s="4">
        <f>N16/61</f>
        <v>0.019996830213615077</v>
      </c>
      <c r="AD16" s="4">
        <f>O16/60</f>
        <v>3.169786384922218E-06</v>
      </c>
      <c r="AE16" s="1">
        <f>SUM(S16:W16)</f>
        <v>0.09936781036525281</v>
      </c>
      <c r="AF16" s="1">
        <f>SUM(X16:AD16)</f>
        <v>0.10083920187793428</v>
      </c>
      <c r="AG16" s="1">
        <v>-0.0012188358831997093</v>
      </c>
      <c r="AH16" s="5">
        <v>-0.14370699462316475</v>
      </c>
      <c r="AI16" s="1">
        <v>0.848139567872669</v>
      </c>
      <c r="AJ16" s="7">
        <f>G16*2.6+F16*3.82+E16*1.84+D16*2.13+N16*0.72+O16*2.82+J16*2.14+K16*1.15+M16*1.54</f>
        <v>12.178797110838303</v>
      </c>
      <c r="AK16" s="7">
        <f>V16+U16</f>
        <v>0</v>
      </c>
      <c r="AL16" s="2">
        <f>AS16+AT16-(AN16*AQ16*AR16/115.2/(AQ16+AR16)*(2*AM16/(1+AM16^0.5))+0.668)*((AQ16+AR16)*AI16/2)^1.5</f>
        <v>11.469795524908445</v>
      </c>
      <c r="AM16" s="16">
        <f>AQ16*AR16*AN16/(AQ16+AR16)/(AQ16*AP16+AR16*AO16)</f>
        <v>0.5023414250941185</v>
      </c>
      <c r="AN16" s="16">
        <f>AO16+AP16</f>
        <v>123.46662273080702</v>
      </c>
      <c r="AO16" s="16">
        <f>AS16/(S16+T16+U16+V16)</f>
        <v>53.11136490250697</v>
      </c>
      <c r="AP16" s="16">
        <f>AT16/(Y16+Z16+AB16+AC12:AC16+AD16)</f>
        <v>70.35525782830004</v>
      </c>
      <c r="AQ16" s="16">
        <f>(S16+T16+U16*4+V16*4)/(S16+T16+U16*2+V16*2)</f>
        <v>1</v>
      </c>
      <c r="AR16" s="16">
        <f>(Y16+Z16+AB16*4+AC16+AD16*4)/(Y16+Z16+AB16*2+AC16+AD16*2)</f>
        <v>1.1873076850089874</v>
      </c>
      <c r="AS16" s="16">
        <f>S16*S$2+T16*T$2+U16*U$2+V16*V$2</f>
        <v>5.277560035872057</v>
      </c>
      <c r="AT16" s="16">
        <f>Y16*Y$2+Z16*Z$2+AB16*AB$2+AC16*AC$2+AD16*AD$2</f>
        <v>7.094568047322064</v>
      </c>
    </row>
    <row r="17" spans="1:46" s="15" customFormat="1" ht="12.75">
      <c r="A17" s="11" t="s">
        <v>367</v>
      </c>
      <c r="B17" s="11"/>
      <c r="C17" s="11">
        <v>6.5</v>
      </c>
      <c r="D17" s="1">
        <v>2</v>
      </c>
      <c r="E17" s="1">
        <v>0.5</v>
      </c>
      <c r="F17" s="1">
        <v>0.15</v>
      </c>
      <c r="G17" s="12">
        <v>3</v>
      </c>
      <c r="H17" s="12"/>
      <c r="I17" s="12"/>
      <c r="J17" s="1">
        <v>2.5</v>
      </c>
      <c r="K17" s="12"/>
      <c r="L17" s="12"/>
      <c r="M17" s="1">
        <v>0.5</v>
      </c>
      <c r="N17" s="1">
        <f>Q17*61*(1-10^-10.3/10^-C17)</f>
        <v>10.978259787274679</v>
      </c>
      <c r="O17" s="1">
        <f>Q17*60*10^-10.3/10^-C17</f>
        <v>0.0017116846478579975</v>
      </c>
      <c r="P17" s="1">
        <f>Q17*61</f>
        <v>10.98</v>
      </c>
      <c r="Q17" s="3">
        <v>0.18</v>
      </c>
      <c r="R17" s="5">
        <f>(10^(-C17))*N17/10^-6.4+N17+O17</f>
        <v>19.700313189093006</v>
      </c>
      <c r="S17" s="4">
        <f>D17/23.1</f>
        <v>0.08658008658008658</v>
      </c>
      <c r="T17" s="4">
        <f>E17/39.1</f>
        <v>0.01278772378516624</v>
      </c>
      <c r="U17" s="4">
        <f>F17/12.15</f>
        <v>0.012345679012345678</v>
      </c>
      <c r="V17" s="4">
        <f>G17/20.04</f>
        <v>0.14970059880239522</v>
      </c>
      <c r="W17" s="4">
        <f>H17/37.85</f>
        <v>0</v>
      </c>
      <c r="X17" s="4">
        <f>I17/19</f>
        <v>0</v>
      </c>
      <c r="Y17" s="4">
        <f>J17/35.5</f>
        <v>0.07042253521126761</v>
      </c>
      <c r="Z17" s="4">
        <f>K17/62</f>
        <v>0</v>
      </c>
      <c r="AA17" s="4">
        <f>L17/48</f>
        <v>0</v>
      </c>
      <c r="AB17" s="4">
        <f>M17/48</f>
        <v>0.010416666666666666</v>
      </c>
      <c r="AC17" s="4">
        <f>N17/61</f>
        <v>0.1799714719225357</v>
      </c>
      <c r="AD17" s="4">
        <f>O17/60</f>
        <v>2.8528077464299957E-05</v>
      </c>
      <c r="AE17" s="1">
        <f>SUM(S17:W17)</f>
        <v>0.26141408817999373</v>
      </c>
      <c r="AF17" s="1">
        <f>SUM(X17:AD17)</f>
        <v>0.26083920187793425</v>
      </c>
      <c r="AG17" s="1">
        <v>-0.0012188358831997093</v>
      </c>
      <c r="AH17" s="5">
        <v>-0.14370699462316475</v>
      </c>
      <c r="AI17" s="1">
        <v>0.848139567872669</v>
      </c>
      <c r="AJ17" s="7">
        <f>G17*2.6+F17*3.82+E17*1.84+D17*2.13+N17*0.72+O17*2.82+J17*2.14+K17*1.15+M17*1.54</f>
        <v>27.58217399754473</v>
      </c>
      <c r="AK17" s="7">
        <f>V17+U17</f>
        <v>0.1620462778147409</v>
      </c>
      <c r="AL17" s="2">
        <f>AS17+AT17-(AN17*AQ17*AR17/115.2/(AQ17+AR17)*(2*AM17/(1+AM17^0.5))+0.668)*((AQ17+AR17)*AI17/2)^1.5</f>
        <v>27.692268633098287</v>
      </c>
      <c r="AM17" s="16">
        <f>AQ17*AR17*AN17/(AQ17+AR17)/(AQ17*AP17+AR17*AO17)</f>
        <v>0.47301474464437454</v>
      </c>
      <c r="AN17" s="16">
        <f>AO17+AP17</f>
        <v>111.26725598408318</v>
      </c>
      <c r="AO17" s="16">
        <f>AS17/(S17+T17+U17+V17)</f>
        <v>56.76932457424409</v>
      </c>
      <c r="AP17" s="16">
        <f>AT17/(Y17+Z17+AB17+AC12:AC17+AD17)</f>
        <v>54.49793140983909</v>
      </c>
      <c r="AQ17" s="16">
        <f>(S17+T17+U17*4+V17*4)/(S17+T17+U17*2+V17*2)</f>
        <v>1.765343304014222</v>
      </c>
      <c r="AR17" s="16">
        <f>(Y17+Z17+AB17*4+AC17+AD17*4)/(Y17+Z17+AB17*2+AC17+AD17*2)</f>
        <v>1.0770054958869049</v>
      </c>
      <c r="AS17" s="16">
        <f>S17*S$2+T17*T$2+U17*U$2+V17*V$2</f>
        <v>14.84030122017013</v>
      </c>
      <c r="AT17" s="16">
        <f>Y17*Y$2+Z17*Z$2+AB17*AB$2+AC17*AC$2+AD17*AD$2</f>
        <v>14.215196932940833</v>
      </c>
    </row>
    <row r="18" spans="1:67" s="14" customFormat="1" ht="12.75">
      <c r="A18" s="11" t="s">
        <v>146</v>
      </c>
      <c r="B18" s="11"/>
      <c r="C18" s="11">
        <v>6.5</v>
      </c>
      <c r="D18" s="1">
        <v>2</v>
      </c>
      <c r="E18" s="1">
        <v>0.5</v>
      </c>
      <c r="F18" s="1">
        <v>0.3</v>
      </c>
      <c r="G18" s="12">
        <v>6</v>
      </c>
      <c r="H18" s="12"/>
      <c r="I18" s="12"/>
      <c r="J18" s="1">
        <v>2.5</v>
      </c>
      <c r="K18" s="12"/>
      <c r="L18" s="12"/>
      <c r="M18" s="1">
        <v>0.5</v>
      </c>
      <c r="N18" s="1">
        <f>Q18*61*(1-10^-10.3/10^-C18)</f>
        <v>20.9709158069807</v>
      </c>
      <c r="O18" s="1">
        <f>Q18*60*10^-10.3/10^-C18</f>
        <v>0.0032696980517749664</v>
      </c>
      <c r="P18" s="1">
        <f>Q18*61</f>
        <v>20.97424</v>
      </c>
      <c r="Q18" s="3">
        <v>0.34384000000000003</v>
      </c>
      <c r="R18" s="5">
        <f>(10^(-C18))*N18/10^-6.4+N18+O18</f>
        <v>37.631976038542994</v>
      </c>
      <c r="S18" s="4">
        <f>D18/23.1</f>
        <v>0.08658008658008658</v>
      </c>
      <c r="T18" s="4">
        <f>E18/39.1</f>
        <v>0.01278772378516624</v>
      </c>
      <c r="U18" s="4">
        <f>F18/12.15</f>
        <v>0.024691358024691357</v>
      </c>
      <c r="V18" s="4">
        <f>G18/20.04</f>
        <v>0.29940119760479045</v>
      </c>
      <c r="W18" s="4">
        <f>H18/37.85</f>
        <v>0</v>
      </c>
      <c r="X18" s="4">
        <f>I18/19</f>
        <v>0</v>
      </c>
      <c r="Y18" s="4">
        <f>J18/35.5</f>
        <v>0.07042253521126761</v>
      </c>
      <c r="Z18" s="4">
        <f>K18/62</f>
        <v>0</v>
      </c>
      <c r="AA18" s="4">
        <f t="shared" si="0"/>
        <v>0</v>
      </c>
      <c r="AB18" s="4">
        <f t="shared" si="0"/>
        <v>0.010416666666666666</v>
      </c>
      <c r="AC18" s="4">
        <f>N18/61</f>
        <v>0.34378550503247046</v>
      </c>
      <c r="AD18" s="4">
        <f>O18/60</f>
        <v>5.4494967529582775E-05</v>
      </c>
      <c r="AE18" s="1">
        <f>SUM(S18:W18)</f>
        <v>0.42346036599473463</v>
      </c>
      <c r="AF18" s="1">
        <f>SUM(X18:AD18)</f>
        <v>0.42467920187793434</v>
      </c>
      <c r="AG18" s="1">
        <v>-0.0012188358831997093</v>
      </c>
      <c r="AH18" s="5">
        <v>-0.14370699462316475</v>
      </c>
      <c r="AI18" s="1">
        <v>0.848139567872669</v>
      </c>
      <c r="AJ18" s="7">
        <f>G18*2.6+F18*3.82+E18*1.84+D18*2.13+N18*0.72+O18*2.82+J18*2.14+K18*1.15+M18*1.54</f>
        <v>43.154279929532116</v>
      </c>
      <c r="AK18" s="7">
        <f aca="true" t="shared" si="1" ref="AK18:AK74">V18+U18</f>
        <v>0.3240925556294818</v>
      </c>
      <c r="AL18" s="2">
        <f>AS18+AT18-(AN18*AQ18*AR18/115.2/(AQ18+AR18)*(2*AM18/(1+AM18^0.5))+0.668)*((AQ18+AR18)*AI18/2)^1.5</f>
        <v>44.50873277486466</v>
      </c>
      <c r="AM18" s="16">
        <f>AQ18*AR18*AN18/(AQ18+AR18)/(AQ18*AP18+AR18*AO18)</f>
        <v>0.469042240925819</v>
      </c>
      <c r="AN18" s="16">
        <f>AO18+AP18</f>
        <v>108.26996426608466</v>
      </c>
      <c r="AO18" s="16">
        <f>AS18/(S18+T18+U18+V18)</f>
        <v>57.62768930486314</v>
      </c>
      <c r="AP18" s="16">
        <f>AT18/(Y18+Z18+AB18+AC13:AC18+AD18)</f>
        <v>50.64227496122152</v>
      </c>
      <c r="AQ18" s="16">
        <f>(S18+T18+U18*4+V18*4)/(S18+T18+U18*2+V18*2)</f>
        <v>1.8670758852104339</v>
      </c>
      <c r="AR18" s="16">
        <f>(Y18+Z18+AB18*4+AC18+AD18*4)/(Y18+Z18+AB18*2+AC18+AD18*2)</f>
        <v>1.048126636272036</v>
      </c>
      <c r="AS18" s="16">
        <f>S18*S$2+T18*T$2+U18*U$2+V18*V$2</f>
        <v>24.4030424044682</v>
      </c>
      <c r="AT18" s="16">
        <f>Y18*Y$2+Z18*Z$2+AB18*AB$2+AC18*AC$2+AD18*AD$2</f>
        <v>21.50672091181445</v>
      </c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</row>
    <row r="19" spans="1:46" ht="12.75">
      <c r="A19" s="10" t="s">
        <v>50</v>
      </c>
      <c r="B19" s="3"/>
      <c r="C19" s="3">
        <v>7.1</v>
      </c>
      <c r="D19" s="1">
        <v>2</v>
      </c>
      <c r="E19" s="1">
        <v>0.5</v>
      </c>
      <c r="F19" s="1">
        <f>G19/20</f>
        <v>0.5</v>
      </c>
      <c r="G19" s="1">
        <v>10</v>
      </c>
      <c r="I19" s="1"/>
      <c r="J19" s="1">
        <v>2.5</v>
      </c>
      <c r="K19" s="1">
        <v>0</v>
      </c>
      <c r="L19" s="1">
        <v>0</v>
      </c>
      <c r="M19" s="1">
        <v>0.5</v>
      </c>
      <c r="N19" s="1">
        <f>Q19*61*(1-10^-10.3/10^-C19)</f>
        <v>34.13844649711256</v>
      </c>
      <c r="O19" s="1">
        <f>Q19*60*10^-10.3/10^-C19</f>
        <v>0.021200166774534384</v>
      </c>
      <c r="P19" s="1">
        <f>Q19*61</f>
        <v>34.160000000000004</v>
      </c>
      <c r="Q19" s="3">
        <v>0.56</v>
      </c>
      <c r="R19" s="5">
        <f>(10^(-C19))*N19/10^-6.4+N19+O19</f>
        <v>40.97116224261412</v>
      </c>
      <c r="S19" s="4">
        <f>D19/23.1</f>
        <v>0.08658008658008658</v>
      </c>
      <c r="T19" s="4">
        <f>E19/39.1</f>
        <v>0.01278772378516624</v>
      </c>
      <c r="U19" s="4">
        <f>F19/12.15</f>
        <v>0.0411522633744856</v>
      </c>
      <c r="V19" s="4">
        <f>G19/20.04</f>
        <v>0.49900199600798406</v>
      </c>
      <c r="W19" s="4">
        <f>H19/37.85</f>
        <v>0</v>
      </c>
      <c r="X19" s="4">
        <f>I19/19</f>
        <v>0</v>
      </c>
      <c r="Y19" s="4">
        <f>J19/35.5</f>
        <v>0.07042253521126761</v>
      </c>
      <c r="Z19" s="4">
        <f>K19/62</f>
        <v>0</v>
      </c>
      <c r="AA19" s="4">
        <f t="shared" si="0"/>
        <v>0</v>
      </c>
      <c r="AB19" s="4">
        <f t="shared" si="0"/>
        <v>0.010416666666666666</v>
      </c>
      <c r="AC19" s="4">
        <f>N19/61</f>
        <v>0.5596466638870912</v>
      </c>
      <c r="AD19" s="4">
        <f>O19/60</f>
        <v>0.0003533361129089064</v>
      </c>
      <c r="AE19" s="1">
        <f>SUM(S19:W19)</f>
        <v>0.6395220697477224</v>
      </c>
      <c r="AF19" s="1">
        <f>SUM(X19:AD19)</f>
        <v>0.6408392018779343</v>
      </c>
      <c r="AG19" s="1">
        <f>AE19-AF19</f>
        <v>-0.0013171321302118955</v>
      </c>
      <c r="AH19" s="5">
        <f>(AE19-AF19)/(AE19+AF19)*100</f>
        <v>-0.10287191274846602</v>
      </c>
      <c r="AI19" s="1">
        <f>AE19+AF19</f>
        <v>1.2803612716256567</v>
      </c>
      <c r="AJ19" s="7">
        <f>G19*2.6+F19*3.82+E19*1.84+D19*2.13+N19*0.72+O19*2.82+J19*2.14+K19*1.15+M19*1.54</f>
        <v>63.84946594822524</v>
      </c>
      <c r="AK19" s="7">
        <f t="shared" si="1"/>
        <v>0.5401542593824696</v>
      </c>
      <c r="AL19" s="2">
        <f>AS19+AT19-(AN19*AQ19*AR19/115.2/(AQ19+AR19)*(2*AM19/(1+AM19^0.5))+0.668)*((AQ19+AR19)*AI19/2)^1.5</f>
        <v>65.65855541509684</v>
      </c>
      <c r="AM19" s="16">
        <f>AQ19*AR19*AN19/(AQ19+AR19)/(AQ19*AP19+AR19*AO19)</f>
        <v>0.4676818047995256</v>
      </c>
      <c r="AN19" s="16">
        <f>AO19+AP19</f>
        <v>106.67751820553596</v>
      </c>
      <c r="AO19" s="16">
        <f>AS19/(S19+T19+U19+V19)</f>
        <v>58.09551498072379</v>
      </c>
      <c r="AP19" s="16">
        <f>AT19/(Y19+Z19+AB19+AC14:AC19+AD19)</f>
        <v>48.58200322481216</v>
      </c>
      <c r="AQ19" s="16">
        <f>(S19+T19+U19*4+V19*4)/(S19+T19+U19*2+V19*2)</f>
        <v>1.9157668862962438</v>
      </c>
      <c r="AR19" s="16">
        <f>(Y19+Z19+AB19*4+AC19+AD19*4)/(Y19+Z19+AB19*2+AC19+AD19*2)</f>
        <v>1.0330566318050598</v>
      </c>
      <c r="AS19" s="16">
        <f>S19*S$2+T19*T$2+U19*U$2+V19*V$2</f>
        <v>37.153363983532294</v>
      </c>
      <c r="AT19" s="16">
        <f>Y19*Y$2+Z19*Z$2+AB19*AB$2+AC19*AC$2+AD19*AD$2</f>
        <v>31.13325217221986</v>
      </c>
    </row>
    <row r="20" spans="1:46" ht="12.75">
      <c r="A20" s="10" t="s">
        <v>51</v>
      </c>
      <c r="C20" s="3">
        <v>7.7</v>
      </c>
      <c r="D20" s="1">
        <v>2</v>
      </c>
      <c r="E20" s="1">
        <v>0.5</v>
      </c>
      <c r="F20" s="1">
        <f>G20/20</f>
        <v>0.6</v>
      </c>
      <c r="G20" s="1">
        <f>G19+2</f>
        <v>12</v>
      </c>
      <c r="J20" s="1">
        <v>2.5</v>
      </c>
      <c r="K20" s="1">
        <v>0</v>
      </c>
      <c r="L20" s="1">
        <v>0</v>
      </c>
      <c r="M20" s="1">
        <v>0.5</v>
      </c>
      <c r="N20" s="1">
        <f>Q20*61*(1-10^-10.3/10^-C20)</f>
        <v>40.65051339368306</v>
      </c>
      <c r="O20" s="1">
        <f>Q20*60*10^-10.3/10^-C20</f>
        <v>0.10068846522977487</v>
      </c>
      <c r="P20" s="1">
        <f>Q20*61</f>
        <v>40.75288</v>
      </c>
      <c r="Q20" s="3">
        <f>Q19+0.193*$Q$19</f>
        <v>0.66808</v>
      </c>
      <c r="R20" s="5">
        <f>(10^(-C20))*N20/10^-6.4+N20+O20</f>
        <v>42.78855369424368</v>
      </c>
      <c r="S20" s="4">
        <f aca="true" t="shared" si="2" ref="S20:S43">D20/23.1</f>
        <v>0.08658008658008658</v>
      </c>
      <c r="T20" s="4">
        <f aca="true" t="shared" si="3" ref="T20:T43">E20/39.1</f>
        <v>0.01278772378516624</v>
      </c>
      <c r="U20" s="4">
        <f aca="true" t="shared" si="4" ref="U20:U43">F20/12.15</f>
        <v>0.04938271604938271</v>
      </c>
      <c r="V20" s="4">
        <f aca="true" t="shared" si="5" ref="V20:V43">G20/20.04</f>
        <v>0.5988023952095809</v>
      </c>
      <c r="W20" s="4">
        <f aca="true" t="shared" si="6" ref="W20:W43">H20/37.85</f>
        <v>0</v>
      </c>
      <c r="X20" s="4">
        <f aca="true" t="shared" si="7" ref="X20:X43">I20/19</f>
        <v>0</v>
      </c>
      <c r="Y20" s="4">
        <f aca="true" t="shared" si="8" ref="Y20:Y43">J20/35.5</f>
        <v>0.07042253521126761</v>
      </c>
      <c r="Z20" s="4">
        <f aca="true" t="shared" si="9" ref="Z20:Z43">K20/62</f>
        <v>0</v>
      </c>
      <c r="AA20" s="4">
        <f aca="true" t="shared" si="10" ref="AA20:AA43">L20/48</f>
        <v>0</v>
      </c>
      <c r="AB20" s="4">
        <f aca="true" t="shared" si="11" ref="AB20:AB43">M20/48</f>
        <v>0.010416666666666666</v>
      </c>
      <c r="AC20" s="4">
        <f aca="true" t="shared" si="12" ref="AC20:AC43">N20/61</f>
        <v>0.6664018589128371</v>
      </c>
      <c r="AD20" s="4">
        <f aca="true" t="shared" si="13" ref="AD20:AD43">O20/60</f>
        <v>0.0016781410871629144</v>
      </c>
      <c r="AE20" s="1">
        <f aca="true" t="shared" si="14" ref="AE20:AE43">SUM(S20:W20)</f>
        <v>0.7475529216242165</v>
      </c>
      <c r="AF20" s="1">
        <f aca="true" t="shared" si="15" ref="AF20:AF43">SUM(X20:AD20)</f>
        <v>0.7489192018779343</v>
      </c>
      <c r="AG20" s="1">
        <f aca="true" t="shared" si="16" ref="AG20:AG43">AE20-AF20</f>
        <v>-0.0013662802537177665</v>
      </c>
      <c r="AH20" s="5">
        <f aca="true" t="shared" si="17" ref="AH20:AH43">(AE20-AF20)/(AE20+AF20)*100</f>
        <v>-0.09130008052006341</v>
      </c>
      <c r="AI20" s="1">
        <f aca="true" t="shared" si="18" ref="AI20:AI43">AE20+AF20</f>
        <v>1.4964721235021508</v>
      </c>
      <c r="AJ20" s="7">
        <f aca="true" t="shared" si="19" ref="AJ20:AJ43">G20*2.6+F20*3.82+E20*1.84+D20*2.13+N20*0.72+O20*2.82+J20*2.14+K20*1.15+M20*1.54</f>
        <v>74.34431111539978</v>
      </c>
      <c r="AK20" s="7">
        <f t="shared" si="1"/>
        <v>0.6481851112589636</v>
      </c>
      <c r="AL20" s="2">
        <f aca="true" t="shared" si="20" ref="AL20:AL43">AS20+AT20-(AN20*AQ20*AR20/115.2/(AQ20+AR20)*(2*AM20/(1+AM20^0.5))+0.668)*((AQ20+AR20)*AI20/2)^1.5</f>
        <v>76.16612449697293</v>
      </c>
      <c r="AM20" s="16">
        <f aca="true" t="shared" si="21" ref="AM20:AM43">AQ20*AR20*AN20/(AQ20+AR20)/(AQ20*AP20+AR20*AO20)</f>
        <v>0.4676894928746033</v>
      </c>
      <c r="AN20" s="16">
        <f aca="true" t="shared" si="22" ref="AN20:AN43">AO20+AP20</f>
        <v>106.26479825850706</v>
      </c>
      <c r="AO20" s="16">
        <f aca="true" t="shared" si="23" ref="AO20:AO43">AS20/(S20+T20+U20+V20)</f>
        <v>58.22801772814884</v>
      </c>
      <c r="AP20" s="16">
        <f>AT20/(Y20+Z20+AB20+AC18:AC20+AD20)</f>
        <v>48.036780530358214</v>
      </c>
      <c r="AQ20" s="16">
        <f aca="true" t="shared" si="24" ref="AQ20:AQ43">(S20+T20+U20*4+V20*4)/(S20+T20+U20*2+V20*2)</f>
        <v>1.928806260183375</v>
      </c>
      <c r="AR20" s="16">
        <f aca="true" t="shared" si="25" ref="AR20:AR43">(Y20+Z20+AB20*4+AC20+AD20*4)/(Y20+Z20+AB20*2+AC20+AD20*2)</f>
        <v>1.0317860317963974</v>
      </c>
      <c r="AS20" s="16">
        <f aca="true" t="shared" si="26" ref="AS20:AS43">S20*S$2+T20*T$2+U20*U$2+V20*V$2</f>
        <v>43.52852477306434</v>
      </c>
      <c r="AT20" s="16">
        <f aca="true" t="shared" si="27" ref="AT20:AT43">Y20*Y$2+Z20*Z$2+AB20*AB$2+AC20*AC$2+AD20*AD$2</f>
        <v>35.97566733558136</v>
      </c>
    </row>
    <row r="21" spans="1:46" ht="12.75">
      <c r="A21" s="10" t="s">
        <v>52</v>
      </c>
      <c r="C21" s="3">
        <v>7.7</v>
      </c>
      <c r="D21" s="1">
        <v>2</v>
      </c>
      <c r="E21" s="1">
        <v>0.5</v>
      </c>
      <c r="F21" s="1">
        <f aca="true" t="shared" si="28" ref="F21:F74">G21/20</f>
        <v>0.7</v>
      </c>
      <c r="G21" s="1">
        <f aca="true" t="shared" si="29" ref="G21:G43">G20+2</f>
        <v>14</v>
      </c>
      <c r="J21" s="1">
        <v>2.5</v>
      </c>
      <c r="K21" s="1">
        <v>0</v>
      </c>
      <c r="L21" s="1">
        <v>0</v>
      </c>
      <c r="M21" s="1">
        <v>0.5</v>
      </c>
      <c r="N21" s="1">
        <f aca="true" t="shared" si="30" ref="N21:N43">Q21*61*(1-10^-10.3/10^-C21)</f>
        <v>47.22683282786649</v>
      </c>
      <c r="O21" s="1">
        <f aca="true" t="shared" si="31" ref="O21:O43">Q21*60*10^-10.3/10^-C21</f>
        <v>0.1169775463608281</v>
      </c>
      <c r="P21" s="1">
        <f aca="true" t="shared" si="32" ref="P21:P74">Q21*61</f>
        <v>47.34576</v>
      </c>
      <c r="Q21" s="3">
        <f aca="true" t="shared" si="33" ref="Q21:Q74">Q20+0.193*$Q$19</f>
        <v>0.77616</v>
      </c>
      <c r="R21" s="5">
        <f aca="true" t="shared" si="34" ref="R21:R43">(10^(-C21))*N21/10^-6.4+N21+O21</f>
        <v>49.710758944024924</v>
      </c>
      <c r="S21" s="4">
        <f t="shared" si="2"/>
        <v>0.08658008658008658</v>
      </c>
      <c r="T21" s="4">
        <f t="shared" si="3"/>
        <v>0.01278772378516624</v>
      </c>
      <c r="U21" s="4">
        <f t="shared" si="4"/>
        <v>0.05761316872427983</v>
      </c>
      <c r="V21" s="4">
        <f t="shared" si="5"/>
        <v>0.6986027944111777</v>
      </c>
      <c r="W21" s="4">
        <f t="shared" si="6"/>
        <v>0</v>
      </c>
      <c r="X21" s="4">
        <f t="shared" si="7"/>
        <v>0</v>
      </c>
      <c r="Y21" s="4">
        <f t="shared" si="8"/>
        <v>0.07042253521126761</v>
      </c>
      <c r="Z21" s="4">
        <f t="shared" si="9"/>
        <v>0</v>
      </c>
      <c r="AA21" s="4">
        <f t="shared" si="10"/>
        <v>0</v>
      </c>
      <c r="AB21" s="4">
        <f t="shared" si="11"/>
        <v>0.010416666666666666</v>
      </c>
      <c r="AC21" s="4">
        <f t="shared" si="12"/>
        <v>0.7742103742273195</v>
      </c>
      <c r="AD21" s="4">
        <f t="shared" si="13"/>
        <v>0.0019496257726804684</v>
      </c>
      <c r="AE21" s="1">
        <f t="shared" si="14"/>
        <v>0.8555837735007104</v>
      </c>
      <c r="AF21" s="1">
        <f t="shared" si="15"/>
        <v>0.8569992018779342</v>
      </c>
      <c r="AG21" s="1">
        <f t="shared" si="16"/>
        <v>-0.0014154283772238596</v>
      </c>
      <c r="AH21" s="5">
        <f t="shared" si="17"/>
        <v>-0.08264874739344612</v>
      </c>
      <c r="AI21" s="1">
        <f t="shared" si="18"/>
        <v>1.7125829753786446</v>
      </c>
      <c r="AJ21" s="7">
        <f t="shared" si="19"/>
        <v>84.7071963168014</v>
      </c>
      <c r="AK21" s="7">
        <f t="shared" si="1"/>
        <v>0.7562159631354575</v>
      </c>
      <c r="AL21" s="2">
        <f t="shared" si="20"/>
        <v>86.6015923913181</v>
      </c>
      <c r="AM21" s="16">
        <f t="shared" si="21"/>
        <v>0.46749088235305125</v>
      </c>
      <c r="AN21" s="16">
        <f t="shared" si="22"/>
        <v>105.92565698365341</v>
      </c>
      <c r="AO21" s="16">
        <f t="shared" si="23"/>
        <v>58.32705938123423</v>
      </c>
      <c r="AP21" s="16">
        <f aca="true" t="shared" si="35" ref="AP21:AP43">AT21/(Y21+Z21+AB21+AC19:AC21+AD21)</f>
        <v>47.59859760241918</v>
      </c>
      <c r="AQ21" s="16">
        <f t="shared" si="24"/>
        <v>1.9383497787556203</v>
      </c>
      <c r="AR21" s="16">
        <f t="shared" si="25"/>
        <v>1.028449006822058</v>
      </c>
      <c r="AS21" s="16">
        <f t="shared" si="26"/>
        <v>49.90368556259639</v>
      </c>
      <c r="AT21" s="16">
        <f t="shared" si="27"/>
        <v>40.79196015578219</v>
      </c>
    </row>
    <row r="22" spans="1:46" ht="12.75">
      <c r="A22" s="10" t="s">
        <v>53</v>
      </c>
      <c r="C22" s="3">
        <v>7.7</v>
      </c>
      <c r="D22" s="1">
        <v>2</v>
      </c>
      <c r="E22" s="1">
        <v>0.5</v>
      </c>
      <c r="F22" s="1">
        <f t="shared" si="28"/>
        <v>0.8</v>
      </c>
      <c r="G22" s="1">
        <f t="shared" si="29"/>
        <v>16</v>
      </c>
      <c r="J22" s="1">
        <v>2.5</v>
      </c>
      <c r="K22" s="1">
        <v>0</v>
      </c>
      <c r="L22" s="1">
        <v>0</v>
      </c>
      <c r="M22" s="1">
        <v>0.5</v>
      </c>
      <c r="N22" s="1">
        <f t="shared" si="30"/>
        <v>53.80315226204991</v>
      </c>
      <c r="O22" s="1">
        <f t="shared" si="31"/>
        <v>0.1332666274918814</v>
      </c>
      <c r="P22" s="1">
        <f t="shared" si="32"/>
        <v>53.93863999999999</v>
      </c>
      <c r="Q22" s="3">
        <f t="shared" si="33"/>
        <v>0.8842399999999999</v>
      </c>
      <c r="R22" s="5">
        <f t="shared" si="34"/>
        <v>56.63296419380617</v>
      </c>
      <c r="S22" s="4">
        <f t="shared" si="2"/>
        <v>0.08658008658008658</v>
      </c>
      <c r="T22" s="4">
        <f t="shared" si="3"/>
        <v>0.01278772378516624</v>
      </c>
      <c r="U22" s="4">
        <f t="shared" si="4"/>
        <v>0.06584362139917696</v>
      </c>
      <c r="V22" s="4">
        <f t="shared" si="5"/>
        <v>0.7984031936127745</v>
      </c>
      <c r="W22" s="4">
        <f t="shared" si="6"/>
        <v>0</v>
      </c>
      <c r="X22" s="4">
        <f t="shared" si="7"/>
        <v>0</v>
      </c>
      <c r="Y22" s="4">
        <f t="shared" si="8"/>
        <v>0.07042253521126761</v>
      </c>
      <c r="Z22" s="4">
        <f t="shared" si="9"/>
        <v>0</v>
      </c>
      <c r="AA22" s="4">
        <f t="shared" si="10"/>
        <v>0</v>
      </c>
      <c r="AB22" s="4">
        <f t="shared" si="11"/>
        <v>0.010416666666666666</v>
      </c>
      <c r="AC22" s="4">
        <f t="shared" si="12"/>
        <v>0.8820188895418019</v>
      </c>
      <c r="AD22" s="4">
        <f t="shared" si="13"/>
        <v>0.0022211104581980235</v>
      </c>
      <c r="AE22" s="1">
        <f t="shared" si="14"/>
        <v>0.9636146253772042</v>
      </c>
      <c r="AF22" s="1">
        <f t="shared" si="15"/>
        <v>0.9650792018779342</v>
      </c>
      <c r="AG22" s="1">
        <f t="shared" si="16"/>
        <v>-0.0014645765007299527</v>
      </c>
      <c r="AH22" s="5">
        <f t="shared" si="17"/>
        <v>-0.07593618437687935</v>
      </c>
      <c r="AI22" s="1">
        <f t="shared" si="18"/>
        <v>1.9286938272551384</v>
      </c>
      <c r="AJ22" s="7">
        <f t="shared" si="19"/>
        <v>95.07008151820303</v>
      </c>
      <c r="AK22" s="7">
        <f t="shared" si="1"/>
        <v>0.8642468150119514</v>
      </c>
      <c r="AL22" s="2">
        <f t="shared" si="20"/>
        <v>96.98765721996014</v>
      </c>
      <c r="AM22" s="16">
        <f t="shared" si="21"/>
        <v>0.4673525637650216</v>
      </c>
      <c r="AN22" s="16">
        <f t="shared" si="22"/>
        <v>105.66245350667415</v>
      </c>
      <c r="AO22" s="16">
        <f t="shared" si="23"/>
        <v>58.40389391152946</v>
      </c>
      <c r="AP22" s="16">
        <f t="shared" si="35"/>
        <v>47.25855959514469</v>
      </c>
      <c r="AQ22" s="16">
        <f t="shared" si="24"/>
        <v>1.9456371209712169</v>
      </c>
      <c r="AR22" s="16">
        <f t="shared" si="25"/>
        <v>1.0258516061319798</v>
      </c>
      <c r="AS22" s="16">
        <f t="shared" si="26"/>
        <v>56.27884635212844</v>
      </c>
      <c r="AT22" s="16">
        <f t="shared" si="27"/>
        <v>45.60825297598302</v>
      </c>
    </row>
    <row r="23" spans="1:46" ht="12.75">
      <c r="A23" s="10" t="s">
        <v>54</v>
      </c>
      <c r="C23" s="3">
        <v>7.7</v>
      </c>
      <c r="D23" s="1">
        <v>2</v>
      </c>
      <c r="E23" s="1">
        <v>0.5</v>
      </c>
      <c r="F23" s="1">
        <f t="shared" si="28"/>
        <v>0.9</v>
      </c>
      <c r="G23" s="1">
        <f t="shared" si="29"/>
        <v>18</v>
      </c>
      <c r="J23" s="1">
        <v>2.5</v>
      </c>
      <c r="K23" s="1">
        <v>0</v>
      </c>
      <c r="L23" s="1">
        <v>0</v>
      </c>
      <c r="M23" s="1">
        <v>0.5</v>
      </c>
      <c r="N23" s="1">
        <f t="shared" si="30"/>
        <v>60.379471696233345</v>
      </c>
      <c r="O23" s="1">
        <f t="shared" si="31"/>
        <v>0.14955570862293466</v>
      </c>
      <c r="P23" s="1">
        <f t="shared" si="32"/>
        <v>60.53151999999999</v>
      </c>
      <c r="Q23" s="3">
        <f t="shared" si="33"/>
        <v>0.9923199999999999</v>
      </c>
      <c r="R23" s="5">
        <f t="shared" si="34"/>
        <v>63.555169443587424</v>
      </c>
      <c r="S23" s="4">
        <f t="shared" si="2"/>
        <v>0.08658008658008658</v>
      </c>
      <c r="T23" s="4">
        <f t="shared" si="3"/>
        <v>0.01278772378516624</v>
      </c>
      <c r="U23" s="4">
        <f t="shared" si="4"/>
        <v>0.07407407407407407</v>
      </c>
      <c r="V23" s="4">
        <f t="shared" si="5"/>
        <v>0.8982035928143713</v>
      </c>
      <c r="W23" s="4">
        <f t="shared" si="6"/>
        <v>0</v>
      </c>
      <c r="X23" s="4">
        <f t="shared" si="7"/>
        <v>0</v>
      </c>
      <c r="Y23" s="4">
        <f t="shared" si="8"/>
        <v>0.07042253521126761</v>
      </c>
      <c r="Z23" s="4">
        <f t="shared" si="9"/>
        <v>0</v>
      </c>
      <c r="AA23" s="4">
        <f t="shared" si="10"/>
        <v>0</v>
      </c>
      <c r="AB23" s="4">
        <f t="shared" si="11"/>
        <v>0.010416666666666666</v>
      </c>
      <c r="AC23" s="4">
        <f t="shared" si="12"/>
        <v>0.9898274048562844</v>
      </c>
      <c r="AD23" s="4">
        <f t="shared" si="13"/>
        <v>0.0024925951437155774</v>
      </c>
      <c r="AE23" s="1">
        <f t="shared" si="14"/>
        <v>1.0716454772536983</v>
      </c>
      <c r="AF23" s="1">
        <f t="shared" si="15"/>
        <v>1.0731592018779343</v>
      </c>
      <c r="AG23" s="1">
        <f t="shared" si="16"/>
        <v>-0.0015137246242360458</v>
      </c>
      <c r="AH23" s="5">
        <f t="shared" si="17"/>
        <v>-0.07057633914007069</v>
      </c>
      <c r="AI23" s="1">
        <f t="shared" si="18"/>
        <v>2.1448046791316324</v>
      </c>
      <c r="AJ23" s="7">
        <f t="shared" si="19"/>
        <v>105.43296671960468</v>
      </c>
      <c r="AK23" s="7">
        <f t="shared" si="1"/>
        <v>0.9722776668884454</v>
      </c>
      <c r="AL23" s="2">
        <f t="shared" si="20"/>
        <v>107.32716008418262</v>
      </c>
      <c r="AM23" s="16">
        <f t="shared" si="21"/>
        <v>0.467252015282732</v>
      </c>
      <c r="AN23" s="16">
        <f t="shared" si="22"/>
        <v>105.45225070911425</v>
      </c>
      <c r="AO23" s="16">
        <f t="shared" si="23"/>
        <v>58.465237311712144</v>
      </c>
      <c r="AP23" s="16">
        <f t="shared" si="35"/>
        <v>46.987013397402116</v>
      </c>
      <c r="AQ23" s="16">
        <f t="shared" si="24"/>
        <v>1.9513837833628729</v>
      </c>
      <c r="AR23" s="16">
        <f t="shared" si="25"/>
        <v>1.023772464153028</v>
      </c>
      <c r="AS23" s="16">
        <f t="shared" si="26"/>
        <v>62.654007141660486</v>
      </c>
      <c r="AT23" s="16">
        <f t="shared" si="27"/>
        <v>50.424545796183864</v>
      </c>
    </row>
    <row r="24" spans="1:46" ht="12.75">
      <c r="A24" s="10" t="s">
        <v>55</v>
      </c>
      <c r="C24" s="3">
        <v>7.7</v>
      </c>
      <c r="D24" s="1">
        <v>2</v>
      </c>
      <c r="E24" s="1">
        <v>0.5</v>
      </c>
      <c r="F24" s="1">
        <f t="shared" si="28"/>
        <v>1</v>
      </c>
      <c r="G24" s="1">
        <f t="shared" si="29"/>
        <v>20</v>
      </c>
      <c r="J24" s="1">
        <v>2.5</v>
      </c>
      <c r="K24" s="1">
        <v>0</v>
      </c>
      <c r="L24" s="1">
        <v>0</v>
      </c>
      <c r="M24" s="1">
        <v>0.5</v>
      </c>
      <c r="N24" s="1">
        <f t="shared" si="30"/>
        <v>66.95579113041677</v>
      </c>
      <c r="O24" s="1">
        <f t="shared" si="31"/>
        <v>0.1658447897539879</v>
      </c>
      <c r="P24" s="1">
        <f t="shared" si="32"/>
        <v>67.1244</v>
      </c>
      <c r="Q24" s="3">
        <f t="shared" si="33"/>
        <v>1.1003999999999998</v>
      </c>
      <c r="R24" s="5">
        <f t="shared" si="34"/>
        <v>70.47737469336867</v>
      </c>
      <c r="S24" s="4">
        <f t="shared" si="2"/>
        <v>0.08658008658008658</v>
      </c>
      <c r="T24" s="4">
        <f t="shared" si="3"/>
        <v>0.01278772378516624</v>
      </c>
      <c r="U24" s="4">
        <f t="shared" si="4"/>
        <v>0.0823045267489712</v>
      </c>
      <c r="V24" s="4">
        <f t="shared" si="5"/>
        <v>0.9980039920159681</v>
      </c>
      <c r="W24" s="4">
        <f t="shared" si="6"/>
        <v>0</v>
      </c>
      <c r="X24" s="4">
        <f t="shared" si="7"/>
        <v>0</v>
      </c>
      <c r="Y24" s="4">
        <f t="shared" si="8"/>
        <v>0.07042253521126761</v>
      </c>
      <c r="Z24" s="4">
        <f t="shared" si="9"/>
        <v>0</v>
      </c>
      <c r="AA24" s="4">
        <f t="shared" si="10"/>
        <v>0</v>
      </c>
      <c r="AB24" s="4">
        <f t="shared" si="11"/>
        <v>0.010416666666666666</v>
      </c>
      <c r="AC24" s="4">
        <f t="shared" si="12"/>
        <v>1.0976359201707668</v>
      </c>
      <c r="AD24" s="4">
        <f t="shared" si="13"/>
        <v>0.0027640798292331314</v>
      </c>
      <c r="AE24" s="1">
        <f t="shared" si="14"/>
        <v>1.1796763291301922</v>
      </c>
      <c r="AF24" s="1">
        <f t="shared" si="15"/>
        <v>1.1812392018779343</v>
      </c>
      <c r="AG24" s="1">
        <f t="shared" si="16"/>
        <v>-0.001562872747742139</v>
      </c>
      <c r="AH24" s="5">
        <f t="shared" si="17"/>
        <v>-0.06619774097020667</v>
      </c>
      <c r="AI24" s="1">
        <f t="shared" si="18"/>
        <v>2.3609155310081267</v>
      </c>
      <c r="AJ24" s="7">
        <f t="shared" si="19"/>
        <v>115.79585192100632</v>
      </c>
      <c r="AK24" s="7">
        <f t="shared" si="1"/>
        <v>1.0803085187649393</v>
      </c>
      <c r="AL24" s="2">
        <f t="shared" si="20"/>
        <v>117.62250507248399</v>
      </c>
      <c r="AM24" s="16">
        <f t="shared" si="21"/>
        <v>0.46717639429310953</v>
      </c>
      <c r="AN24" s="16">
        <f t="shared" si="22"/>
        <v>105.28050405761428</v>
      </c>
      <c r="AO24" s="16">
        <f t="shared" si="23"/>
        <v>58.51534546097881</v>
      </c>
      <c r="AP24" s="16">
        <f t="shared" si="35"/>
        <v>46.765158596635466</v>
      </c>
      <c r="AQ24" s="16">
        <f t="shared" si="24"/>
        <v>1.956031647531708</v>
      </c>
      <c r="AR24" s="16">
        <f t="shared" si="25"/>
        <v>1.0220705397860192</v>
      </c>
      <c r="AS24" s="16">
        <f t="shared" si="26"/>
        <v>69.02916793119253</v>
      </c>
      <c r="AT24" s="16">
        <f t="shared" si="27"/>
        <v>55.2408386163847</v>
      </c>
    </row>
    <row r="25" spans="1:46" ht="12.75">
      <c r="A25" s="10" t="s">
        <v>56</v>
      </c>
      <c r="C25" s="3">
        <v>7.7</v>
      </c>
      <c r="D25" s="1">
        <v>2</v>
      </c>
      <c r="E25" s="1">
        <v>0.5</v>
      </c>
      <c r="F25" s="1">
        <f t="shared" si="28"/>
        <v>1.1</v>
      </c>
      <c r="G25" s="1">
        <f t="shared" si="29"/>
        <v>22</v>
      </c>
      <c r="J25" s="1">
        <v>2.5</v>
      </c>
      <c r="K25" s="1">
        <v>0</v>
      </c>
      <c r="L25" s="1">
        <v>0</v>
      </c>
      <c r="M25" s="1">
        <v>0.5</v>
      </c>
      <c r="N25" s="1">
        <f t="shared" si="30"/>
        <v>73.5321105646002</v>
      </c>
      <c r="O25" s="1">
        <f t="shared" si="31"/>
        <v>0.18213387088504115</v>
      </c>
      <c r="P25" s="1">
        <f t="shared" si="32"/>
        <v>73.71727999999999</v>
      </c>
      <c r="Q25" s="3">
        <f t="shared" si="33"/>
        <v>1.2084799999999998</v>
      </c>
      <c r="R25" s="5">
        <f t="shared" si="34"/>
        <v>77.39957994314992</v>
      </c>
      <c r="S25" s="4">
        <f t="shared" si="2"/>
        <v>0.08658008658008658</v>
      </c>
      <c r="T25" s="4">
        <f t="shared" si="3"/>
        <v>0.01278772378516624</v>
      </c>
      <c r="U25" s="4">
        <f t="shared" si="4"/>
        <v>0.09053497942386832</v>
      </c>
      <c r="V25" s="4">
        <f t="shared" si="5"/>
        <v>1.097804391217565</v>
      </c>
      <c r="W25" s="4">
        <f t="shared" si="6"/>
        <v>0</v>
      </c>
      <c r="X25" s="4">
        <f t="shared" si="7"/>
        <v>0</v>
      </c>
      <c r="Y25" s="4">
        <f t="shared" si="8"/>
        <v>0.07042253521126761</v>
      </c>
      <c r="Z25" s="4">
        <f t="shared" si="9"/>
        <v>0</v>
      </c>
      <c r="AA25" s="4">
        <f t="shared" si="10"/>
        <v>0</v>
      </c>
      <c r="AB25" s="4">
        <f t="shared" si="11"/>
        <v>0.010416666666666666</v>
      </c>
      <c r="AC25" s="4">
        <f t="shared" si="12"/>
        <v>1.2054444354852492</v>
      </c>
      <c r="AD25" s="4">
        <f t="shared" si="13"/>
        <v>0.003035564514750686</v>
      </c>
      <c r="AE25" s="1">
        <f t="shared" si="14"/>
        <v>1.2877071810066862</v>
      </c>
      <c r="AF25" s="1">
        <f t="shared" si="15"/>
        <v>1.289319201877934</v>
      </c>
      <c r="AG25" s="1">
        <f t="shared" si="16"/>
        <v>-0.001612020871247788</v>
      </c>
      <c r="AH25" s="5">
        <f t="shared" si="17"/>
        <v>-0.06255352610877644</v>
      </c>
      <c r="AI25" s="1">
        <f t="shared" si="18"/>
        <v>2.57702638288462</v>
      </c>
      <c r="AJ25" s="7">
        <f t="shared" si="19"/>
        <v>126.15873712240796</v>
      </c>
      <c r="AK25" s="7">
        <f t="shared" si="1"/>
        <v>1.1883393706414334</v>
      </c>
      <c r="AL25" s="2">
        <f t="shared" si="20"/>
        <v>127.87576020073278</v>
      </c>
      <c r="AM25" s="16">
        <f t="shared" si="21"/>
        <v>0.46711792662253954</v>
      </c>
      <c r="AN25" s="16">
        <f t="shared" si="22"/>
        <v>105.13754479130498</v>
      </c>
      <c r="AO25" s="16">
        <f t="shared" si="23"/>
        <v>58.557046068327445</v>
      </c>
      <c r="AP25" s="16">
        <f t="shared" si="35"/>
        <v>46.58049872297754</v>
      </c>
      <c r="AQ25" s="16">
        <f t="shared" si="24"/>
        <v>1.9598683593815671</v>
      </c>
      <c r="AR25" s="16">
        <f t="shared" si="25"/>
        <v>1.0206517134779765</v>
      </c>
      <c r="AS25" s="16">
        <f t="shared" si="26"/>
        <v>75.40432872072459</v>
      </c>
      <c r="AT25" s="16">
        <f t="shared" si="27"/>
        <v>60.05713143658552</v>
      </c>
    </row>
    <row r="26" spans="1:46" ht="12.75">
      <c r="A26" s="10" t="s">
        <v>57</v>
      </c>
      <c r="C26" s="3">
        <v>7.7</v>
      </c>
      <c r="D26" s="1">
        <v>2</v>
      </c>
      <c r="E26" s="1">
        <v>0.5</v>
      </c>
      <c r="F26" s="1">
        <f t="shared" si="28"/>
        <v>1.2</v>
      </c>
      <c r="G26" s="1">
        <f>G25+2</f>
        <v>24</v>
      </c>
      <c r="J26" s="1">
        <v>2.5</v>
      </c>
      <c r="K26" s="1">
        <v>0</v>
      </c>
      <c r="L26" s="1">
        <v>0</v>
      </c>
      <c r="M26" s="1">
        <v>0.5</v>
      </c>
      <c r="N26" s="1">
        <f t="shared" si="30"/>
        <v>80.10842999878362</v>
      </c>
      <c r="O26" s="1">
        <f t="shared" si="31"/>
        <v>0.19842295201609442</v>
      </c>
      <c r="P26" s="1">
        <f t="shared" si="32"/>
        <v>80.31015999999998</v>
      </c>
      <c r="Q26" s="3">
        <f>Q25+0.193*$Q$19</f>
        <v>1.3165599999999997</v>
      </c>
      <c r="R26" s="5">
        <f t="shared" si="34"/>
        <v>84.32178519293115</v>
      </c>
      <c r="S26" s="4">
        <f t="shared" si="2"/>
        <v>0.08658008658008658</v>
      </c>
      <c r="T26" s="4">
        <f t="shared" si="3"/>
        <v>0.01278772378516624</v>
      </c>
      <c r="U26" s="4">
        <f t="shared" si="4"/>
        <v>0.09876543209876543</v>
      </c>
      <c r="V26" s="4">
        <f t="shared" si="5"/>
        <v>1.1976047904191618</v>
      </c>
      <c r="W26" s="4">
        <f t="shared" si="6"/>
        <v>0</v>
      </c>
      <c r="X26" s="4">
        <f t="shared" si="7"/>
        <v>0</v>
      </c>
      <c r="Y26" s="4">
        <f t="shared" si="8"/>
        <v>0.07042253521126761</v>
      </c>
      <c r="Z26" s="4">
        <f t="shared" si="9"/>
        <v>0</v>
      </c>
      <c r="AA26" s="4">
        <f t="shared" si="10"/>
        <v>0</v>
      </c>
      <c r="AB26" s="4">
        <f t="shared" si="11"/>
        <v>0.010416666666666666</v>
      </c>
      <c r="AC26" s="4">
        <f t="shared" si="12"/>
        <v>1.3132529507997315</v>
      </c>
      <c r="AD26" s="4">
        <f t="shared" si="13"/>
        <v>0.00330704920026824</v>
      </c>
      <c r="AE26" s="1">
        <f t="shared" si="14"/>
        <v>1.39573803288318</v>
      </c>
      <c r="AF26" s="1">
        <f t="shared" si="15"/>
        <v>1.397399201877934</v>
      </c>
      <c r="AG26" s="1">
        <f t="shared" si="16"/>
        <v>-0.001661168994753881</v>
      </c>
      <c r="AH26" s="5">
        <f t="shared" si="17"/>
        <v>-0.05947323225226182</v>
      </c>
      <c r="AI26" s="1">
        <f t="shared" si="18"/>
        <v>2.7931372347611143</v>
      </c>
      <c r="AJ26" s="7">
        <f t="shared" si="19"/>
        <v>136.5216223238096</v>
      </c>
      <c r="AK26" s="7">
        <f t="shared" si="1"/>
        <v>1.2963702225179272</v>
      </c>
      <c r="AL26" s="2">
        <f t="shared" si="20"/>
        <v>138.08872869053548</v>
      </c>
      <c r="AM26" s="16">
        <f t="shared" si="21"/>
        <v>0.46707167367652375</v>
      </c>
      <c r="AN26" s="16">
        <f t="shared" si="22"/>
        <v>105.01669477669483</v>
      </c>
      <c r="AO26" s="16">
        <f t="shared" si="23"/>
        <v>58.59229137814959</v>
      </c>
      <c r="AP26" s="16">
        <f>AT26/(Y26+Z26+AB26+AC24:AC26+AD26)</f>
        <v>46.42440339854524</v>
      </c>
      <c r="AQ26" s="16">
        <f t="shared" si="24"/>
        <v>1.963089221926387</v>
      </c>
      <c r="AR26" s="16">
        <f t="shared" si="25"/>
        <v>1.0194507731316091</v>
      </c>
      <c r="AS26" s="16">
        <f t="shared" si="26"/>
        <v>81.77948951025662</v>
      </c>
      <c r="AT26" s="16">
        <f t="shared" si="27"/>
        <v>64.87342425678636</v>
      </c>
    </row>
    <row r="27" spans="1:46" ht="12.75">
      <c r="A27" s="10" t="s">
        <v>58</v>
      </c>
      <c r="C27" s="3">
        <v>7.7</v>
      </c>
      <c r="D27" s="1">
        <v>2</v>
      </c>
      <c r="E27" s="1">
        <v>0.5</v>
      </c>
      <c r="F27" s="1">
        <f t="shared" si="28"/>
        <v>1.3</v>
      </c>
      <c r="G27" s="1">
        <f t="shared" si="29"/>
        <v>26</v>
      </c>
      <c r="J27" s="1">
        <v>2.5</v>
      </c>
      <c r="K27" s="1">
        <v>0</v>
      </c>
      <c r="L27" s="1">
        <v>0</v>
      </c>
      <c r="M27" s="1">
        <v>0.5</v>
      </c>
      <c r="N27" s="1">
        <f t="shared" si="30"/>
        <v>86.68474943296704</v>
      </c>
      <c r="O27" s="1">
        <f t="shared" si="31"/>
        <v>0.2147120331471477</v>
      </c>
      <c r="P27" s="1">
        <f t="shared" si="32"/>
        <v>86.90303999999998</v>
      </c>
      <c r="Q27" s="3">
        <f t="shared" si="33"/>
        <v>1.4246399999999997</v>
      </c>
      <c r="R27" s="5">
        <f t="shared" si="34"/>
        <v>91.2439904427124</v>
      </c>
      <c r="S27" s="4">
        <f t="shared" si="2"/>
        <v>0.08658008658008658</v>
      </c>
      <c r="T27" s="4">
        <f t="shared" si="3"/>
        <v>0.01278772378516624</v>
      </c>
      <c r="U27" s="4">
        <f t="shared" si="4"/>
        <v>0.10699588477366255</v>
      </c>
      <c r="V27" s="4">
        <f t="shared" si="5"/>
        <v>1.2974051896207586</v>
      </c>
      <c r="W27" s="4">
        <f t="shared" si="6"/>
        <v>0</v>
      </c>
      <c r="X27" s="4">
        <f t="shared" si="7"/>
        <v>0</v>
      </c>
      <c r="Y27" s="4">
        <f t="shared" si="8"/>
        <v>0.07042253521126761</v>
      </c>
      <c r="Z27" s="4">
        <f t="shared" si="9"/>
        <v>0</v>
      </c>
      <c r="AA27" s="4">
        <f t="shared" si="10"/>
        <v>0</v>
      </c>
      <c r="AB27" s="4">
        <f t="shared" si="11"/>
        <v>0.010416666666666666</v>
      </c>
      <c r="AC27" s="4">
        <f t="shared" si="12"/>
        <v>1.4210614661142138</v>
      </c>
      <c r="AD27" s="4">
        <f t="shared" si="13"/>
        <v>0.003578533885785795</v>
      </c>
      <c r="AE27" s="1">
        <f t="shared" si="14"/>
        <v>1.503768884759674</v>
      </c>
      <c r="AF27" s="1">
        <f t="shared" si="15"/>
        <v>1.505479201877934</v>
      </c>
      <c r="AG27" s="1">
        <f t="shared" si="16"/>
        <v>-0.0017103171182599741</v>
      </c>
      <c r="AH27" s="5">
        <f t="shared" si="17"/>
        <v>-0.05683536448372398</v>
      </c>
      <c r="AI27" s="1">
        <f t="shared" si="18"/>
        <v>3.0092480866376077</v>
      </c>
      <c r="AJ27" s="7">
        <f t="shared" si="19"/>
        <v>146.88450752521123</v>
      </c>
      <c r="AK27" s="7">
        <f t="shared" si="1"/>
        <v>1.404401074394421</v>
      </c>
      <c r="AL27" s="2">
        <f t="shared" si="20"/>
        <v>148.263000841727</v>
      </c>
      <c r="AM27" s="16">
        <f t="shared" si="21"/>
        <v>0.4670343708380777</v>
      </c>
      <c r="AN27" s="16">
        <f t="shared" si="22"/>
        <v>104.91319321995432</v>
      </c>
      <c r="AO27" s="16">
        <f t="shared" si="23"/>
        <v>58.622472637394125</v>
      </c>
      <c r="AP27" s="16">
        <f>AT27/(Y27+Z27+AB27+AC25:AC27+AD27)</f>
        <v>46.2907205825602</v>
      </c>
      <c r="AQ27" s="16">
        <f t="shared" si="24"/>
        <v>1.965831498240854</v>
      </c>
      <c r="AR27" s="16">
        <f t="shared" si="25"/>
        <v>1.0184211073645824</v>
      </c>
      <c r="AS27" s="16">
        <f t="shared" si="26"/>
        <v>88.15465029978867</v>
      </c>
      <c r="AT27" s="16">
        <f t="shared" si="27"/>
        <v>69.68971707698718</v>
      </c>
    </row>
    <row r="28" spans="1:46" ht="12.75">
      <c r="A28" s="10" t="s">
        <v>59</v>
      </c>
      <c r="C28" s="3">
        <v>7.7</v>
      </c>
      <c r="D28" s="1">
        <v>2</v>
      </c>
      <c r="E28" s="1">
        <v>0.5</v>
      </c>
      <c r="F28" s="1">
        <f t="shared" si="28"/>
        <v>1.4</v>
      </c>
      <c r="G28" s="1">
        <f t="shared" si="29"/>
        <v>28</v>
      </c>
      <c r="J28" s="1">
        <v>2.5</v>
      </c>
      <c r="K28" s="1">
        <v>0</v>
      </c>
      <c r="L28" s="1">
        <v>0</v>
      </c>
      <c r="M28" s="1">
        <v>0.5</v>
      </c>
      <c r="N28" s="1">
        <f t="shared" si="30"/>
        <v>93.26106886715048</v>
      </c>
      <c r="O28" s="1">
        <f t="shared" si="31"/>
        <v>0.23100111427820094</v>
      </c>
      <c r="P28" s="1">
        <f t="shared" si="32"/>
        <v>93.49591999999998</v>
      </c>
      <c r="Q28" s="3">
        <f t="shared" si="33"/>
        <v>1.5327199999999996</v>
      </c>
      <c r="R28" s="5">
        <f t="shared" si="34"/>
        <v>98.16619569249366</v>
      </c>
      <c r="S28" s="4">
        <f t="shared" si="2"/>
        <v>0.08658008658008658</v>
      </c>
      <c r="T28" s="4">
        <f t="shared" si="3"/>
        <v>0.01278772378516624</v>
      </c>
      <c r="U28" s="4">
        <f t="shared" si="4"/>
        <v>0.11522633744855966</v>
      </c>
      <c r="V28" s="4">
        <f t="shared" si="5"/>
        <v>1.3972055888223553</v>
      </c>
      <c r="W28" s="4">
        <f t="shared" si="6"/>
        <v>0</v>
      </c>
      <c r="X28" s="4">
        <f t="shared" si="7"/>
        <v>0</v>
      </c>
      <c r="Y28" s="4">
        <f t="shared" si="8"/>
        <v>0.07042253521126761</v>
      </c>
      <c r="Z28" s="4">
        <f t="shared" si="9"/>
        <v>0</v>
      </c>
      <c r="AA28" s="4">
        <f t="shared" si="10"/>
        <v>0</v>
      </c>
      <c r="AB28" s="4">
        <f t="shared" si="11"/>
        <v>0.010416666666666666</v>
      </c>
      <c r="AC28" s="4">
        <f t="shared" si="12"/>
        <v>1.5288699814286966</v>
      </c>
      <c r="AD28" s="4">
        <f t="shared" si="13"/>
        <v>0.003850018571303349</v>
      </c>
      <c r="AE28" s="1">
        <f t="shared" si="14"/>
        <v>1.6117997366361678</v>
      </c>
      <c r="AF28" s="1">
        <f t="shared" si="15"/>
        <v>1.6135592018779341</v>
      </c>
      <c r="AG28" s="1">
        <f t="shared" si="16"/>
        <v>-0.0017594652417662893</v>
      </c>
      <c r="AH28" s="5">
        <f t="shared" si="17"/>
        <v>-0.05455099030239596</v>
      </c>
      <c r="AI28" s="1">
        <f t="shared" si="18"/>
        <v>3.225358938514102</v>
      </c>
      <c r="AJ28" s="7">
        <f t="shared" si="19"/>
        <v>157.24739272661287</v>
      </c>
      <c r="AK28" s="7">
        <f t="shared" si="1"/>
        <v>1.512431926270915</v>
      </c>
      <c r="AL28" s="2">
        <f t="shared" si="20"/>
        <v>158.3999927652857</v>
      </c>
      <c r="AM28" s="16">
        <f t="shared" si="21"/>
        <v>0.4670037867630577</v>
      </c>
      <c r="AN28" s="16">
        <f t="shared" si="22"/>
        <v>104.82355464682462</v>
      </c>
      <c r="AO28" s="16">
        <f t="shared" si="23"/>
        <v>58.648608099790856</v>
      </c>
      <c r="AP28" s="16">
        <f t="shared" si="35"/>
        <v>46.174946547033755</v>
      </c>
      <c r="AQ28" s="16">
        <f t="shared" si="24"/>
        <v>1.9681944807278497</v>
      </c>
      <c r="AR28" s="16">
        <f t="shared" si="25"/>
        <v>1.0175285149976905</v>
      </c>
      <c r="AS28" s="16">
        <f t="shared" si="26"/>
        <v>94.52981108932072</v>
      </c>
      <c r="AT28" s="16">
        <f t="shared" si="27"/>
        <v>74.50600989718805</v>
      </c>
    </row>
    <row r="29" spans="1:46" ht="12.75">
      <c r="A29" s="10" t="s">
        <v>60</v>
      </c>
      <c r="C29" s="3">
        <v>7.7</v>
      </c>
      <c r="D29" s="1">
        <v>2</v>
      </c>
      <c r="E29" s="1">
        <v>0.5</v>
      </c>
      <c r="F29" s="1">
        <f t="shared" si="28"/>
        <v>1.5</v>
      </c>
      <c r="G29" s="1">
        <f t="shared" si="29"/>
        <v>30</v>
      </c>
      <c r="J29" s="1">
        <v>2.5</v>
      </c>
      <c r="K29" s="1">
        <v>0</v>
      </c>
      <c r="L29" s="1">
        <v>0</v>
      </c>
      <c r="M29" s="1">
        <v>0.5</v>
      </c>
      <c r="N29" s="1">
        <f t="shared" si="30"/>
        <v>99.8373883013339</v>
      </c>
      <c r="O29" s="1">
        <f t="shared" si="31"/>
        <v>0.2472901954092542</v>
      </c>
      <c r="P29" s="1">
        <f t="shared" si="32"/>
        <v>100.08879999999998</v>
      </c>
      <c r="Q29" s="3">
        <f t="shared" si="33"/>
        <v>1.6407999999999996</v>
      </c>
      <c r="R29" s="5">
        <f t="shared" si="34"/>
        <v>105.08840094227489</v>
      </c>
      <c r="S29" s="4">
        <f t="shared" si="2"/>
        <v>0.08658008658008658</v>
      </c>
      <c r="T29" s="4">
        <f t="shared" si="3"/>
        <v>0.01278772378516624</v>
      </c>
      <c r="U29" s="4">
        <f t="shared" si="4"/>
        <v>0.12345679012345678</v>
      </c>
      <c r="V29" s="4">
        <f t="shared" si="5"/>
        <v>1.4970059880239521</v>
      </c>
      <c r="W29" s="4">
        <f t="shared" si="6"/>
        <v>0</v>
      </c>
      <c r="X29" s="4">
        <f t="shared" si="7"/>
        <v>0</v>
      </c>
      <c r="Y29" s="4">
        <f t="shared" si="8"/>
        <v>0.07042253521126761</v>
      </c>
      <c r="Z29" s="4">
        <f t="shared" si="9"/>
        <v>0</v>
      </c>
      <c r="AA29" s="4">
        <f t="shared" si="10"/>
        <v>0</v>
      </c>
      <c r="AB29" s="4">
        <f t="shared" si="11"/>
        <v>0.010416666666666666</v>
      </c>
      <c r="AC29" s="4">
        <f t="shared" si="12"/>
        <v>1.6366784967431787</v>
      </c>
      <c r="AD29" s="4">
        <f t="shared" si="13"/>
        <v>0.004121503256820903</v>
      </c>
      <c r="AE29" s="1">
        <f t="shared" si="14"/>
        <v>1.7198305885126617</v>
      </c>
      <c r="AF29" s="1">
        <f t="shared" si="15"/>
        <v>1.7216392018779338</v>
      </c>
      <c r="AG29" s="1">
        <f t="shared" si="16"/>
        <v>-0.0018086133652721603</v>
      </c>
      <c r="AH29" s="5">
        <f t="shared" si="17"/>
        <v>-0.0525535156613096</v>
      </c>
      <c r="AI29" s="1">
        <f t="shared" si="18"/>
        <v>3.4414697903905953</v>
      </c>
      <c r="AJ29" s="7">
        <f t="shared" si="19"/>
        <v>167.6102779280145</v>
      </c>
      <c r="AK29" s="7">
        <f t="shared" si="1"/>
        <v>1.620462778147409</v>
      </c>
      <c r="AL29" s="2">
        <f t="shared" si="20"/>
        <v>168.50097594983836</v>
      </c>
      <c r="AM29" s="16">
        <f t="shared" si="21"/>
        <v>0.4669783523348512</v>
      </c>
      <c r="AN29" s="16">
        <f t="shared" si="22"/>
        <v>104.74516866633073</v>
      </c>
      <c r="AO29" s="16">
        <f t="shared" si="23"/>
        <v>58.6714601733634</v>
      </c>
      <c r="AP29" s="16">
        <f t="shared" si="35"/>
        <v>46.073708492967334</v>
      </c>
      <c r="AQ29" s="16">
        <f t="shared" si="24"/>
        <v>1.9702517714889785</v>
      </c>
      <c r="AR29" s="16">
        <f t="shared" si="25"/>
        <v>1.0167473325705232</v>
      </c>
      <c r="AS29" s="16">
        <f t="shared" si="26"/>
        <v>100.90497187885276</v>
      </c>
      <c r="AT29" s="16">
        <f t="shared" si="27"/>
        <v>79.32230271738887</v>
      </c>
    </row>
    <row r="30" spans="1:46" ht="12.75">
      <c r="A30" s="10" t="s">
        <v>61</v>
      </c>
      <c r="C30" s="3">
        <v>7.7</v>
      </c>
      <c r="D30" s="1">
        <v>2</v>
      </c>
      <c r="E30" s="1">
        <v>0.5</v>
      </c>
      <c r="F30" s="1">
        <f t="shared" si="28"/>
        <v>1.6</v>
      </c>
      <c r="G30" s="1">
        <f t="shared" si="29"/>
        <v>32</v>
      </c>
      <c r="J30" s="1">
        <v>2.5</v>
      </c>
      <c r="K30" s="1">
        <v>0</v>
      </c>
      <c r="L30" s="1">
        <v>0</v>
      </c>
      <c r="M30" s="1">
        <v>0.5</v>
      </c>
      <c r="N30" s="1">
        <f t="shared" si="30"/>
        <v>106.41370773551732</v>
      </c>
      <c r="O30" s="1">
        <f t="shared" si="31"/>
        <v>0.26357927654030744</v>
      </c>
      <c r="P30" s="1">
        <f t="shared" si="32"/>
        <v>106.68167999999997</v>
      </c>
      <c r="Q30" s="3">
        <f t="shared" si="33"/>
        <v>1.7488799999999995</v>
      </c>
      <c r="R30" s="5">
        <f t="shared" si="34"/>
        <v>112.01060619205614</v>
      </c>
      <c r="S30" s="4">
        <f t="shared" si="2"/>
        <v>0.08658008658008658</v>
      </c>
      <c r="T30" s="4">
        <f t="shared" si="3"/>
        <v>0.01278772378516624</v>
      </c>
      <c r="U30" s="4">
        <f t="shared" si="4"/>
        <v>0.13168724279835392</v>
      </c>
      <c r="V30" s="4">
        <f t="shared" si="5"/>
        <v>1.596806387225549</v>
      </c>
      <c r="W30" s="4">
        <f t="shared" si="6"/>
        <v>0</v>
      </c>
      <c r="X30" s="4">
        <f t="shared" si="7"/>
        <v>0</v>
      </c>
      <c r="Y30" s="4">
        <f t="shared" si="8"/>
        <v>0.07042253521126761</v>
      </c>
      <c r="Z30" s="4">
        <f t="shared" si="9"/>
        <v>0</v>
      </c>
      <c r="AA30" s="4">
        <f t="shared" si="10"/>
        <v>0</v>
      </c>
      <c r="AB30" s="4">
        <f t="shared" si="11"/>
        <v>0.010416666666666666</v>
      </c>
      <c r="AC30" s="4">
        <f t="shared" si="12"/>
        <v>1.744487012057661</v>
      </c>
      <c r="AD30" s="4">
        <f t="shared" si="13"/>
        <v>0.004392987942338457</v>
      </c>
      <c r="AE30" s="1">
        <f t="shared" si="14"/>
        <v>1.8278614403891558</v>
      </c>
      <c r="AF30" s="1">
        <f t="shared" si="15"/>
        <v>1.8297192018779338</v>
      </c>
      <c r="AG30" s="1">
        <f t="shared" si="16"/>
        <v>-0.0018577614887780314</v>
      </c>
      <c r="AH30" s="5">
        <f t="shared" si="17"/>
        <v>-0.05079208554719738</v>
      </c>
      <c r="AI30" s="1">
        <f t="shared" si="18"/>
        <v>3.6575806422670896</v>
      </c>
      <c r="AJ30" s="7">
        <f t="shared" si="19"/>
        <v>177.97316312941615</v>
      </c>
      <c r="AK30" s="7">
        <f t="shared" si="1"/>
        <v>1.7284936300239029</v>
      </c>
      <c r="AL30" s="2">
        <f t="shared" si="20"/>
        <v>178.56710026539074</v>
      </c>
      <c r="AM30" s="16">
        <f t="shared" si="21"/>
        <v>0.46695693672862476</v>
      </c>
      <c r="AN30" s="16">
        <f t="shared" si="22"/>
        <v>104.67604156095533</v>
      </c>
      <c r="AO30" s="16">
        <f t="shared" si="23"/>
        <v>58.69161102580327</v>
      </c>
      <c r="AP30" s="16">
        <f t="shared" si="35"/>
        <v>45.98443053515205</v>
      </c>
      <c r="AQ30" s="16">
        <f t="shared" si="24"/>
        <v>1.9720590862279361</v>
      </c>
      <c r="AR30" s="16">
        <f t="shared" si="25"/>
        <v>1.0160579267241299</v>
      </c>
      <c r="AS30" s="16">
        <f t="shared" si="26"/>
        <v>107.28013266838482</v>
      </c>
      <c r="AT30" s="16">
        <f t="shared" si="27"/>
        <v>84.1385955375897</v>
      </c>
    </row>
    <row r="31" spans="1:46" ht="12.75">
      <c r="A31" s="10" t="s">
        <v>62</v>
      </c>
      <c r="C31" s="3">
        <v>7.7</v>
      </c>
      <c r="D31" s="1">
        <v>2</v>
      </c>
      <c r="E31" s="1">
        <v>0.5</v>
      </c>
      <c r="F31" s="1">
        <f t="shared" si="28"/>
        <v>1.7</v>
      </c>
      <c r="G31" s="1">
        <f t="shared" si="29"/>
        <v>34</v>
      </c>
      <c r="J31" s="1">
        <v>2.5</v>
      </c>
      <c r="K31" s="1">
        <v>0</v>
      </c>
      <c r="L31" s="1">
        <v>0</v>
      </c>
      <c r="M31" s="1">
        <v>0.5</v>
      </c>
      <c r="N31" s="1">
        <f t="shared" si="30"/>
        <v>112.99002716970075</v>
      </c>
      <c r="O31" s="1">
        <f t="shared" si="31"/>
        <v>0.2798683576713607</v>
      </c>
      <c r="P31" s="1">
        <f t="shared" si="32"/>
        <v>113.27455999999997</v>
      </c>
      <c r="Q31" s="3">
        <f t="shared" si="33"/>
        <v>1.8569599999999995</v>
      </c>
      <c r="R31" s="5">
        <f t="shared" si="34"/>
        <v>118.93281144183739</v>
      </c>
      <c r="S31" s="4">
        <f t="shared" si="2"/>
        <v>0.08658008658008658</v>
      </c>
      <c r="T31" s="4">
        <f t="shared" si="3"/>
        <v>0.01278772378516624</v>
      </c>
      <c r="U31" s="4">
        <f t="shared" si="4"/>
        <v>0.13991769547325103</v>
      </c>
      <c r="V31" s="4">
        <f t="shared" si="5"/>
        <v>1.6966067864271457</v>
      </c>
      <c r="W31" s="4">
        <f t="shared" si="6"/>
        <v>0</v>
      </c>
      <c r="X31" s="4">
        <f t="shared" si="7"/>
        <v>0</v>
      </c>
      <c r="Y31" s="4">
        <f t="shared" si="8"/>
        <v>0.07042253521126761</v>
      </c>
      <c r="Z31" s="4">
        <f t="shared" si="9"/>
        <v>0</v>
      </c>
      <c r="AA31" s="4">
        <f t="shared" si="10"/>
        <v>0</v>
      </c>
      <c r="AB31" s="4">
        <f t="shared" si="11"/>
        <v>0.010416666666666666</v>
      </c>
      <c r="AC31" s="4">
        <f t="shared" si="12"/>
        <v>1.8522955273721435</v>
      </c>
      <c r="AD31" s="4">
        <f t="shared" si="13"/>
        <v>0.004664472627856011</v>
      </c>
      <c r="AE31" s="1">
        <f t="shared" si="14"/>
        <v>1.9358922922656494</v>
      </c>
      <c r="AF31" s="1">
        <f t="shared" si="15"/>
        <v>1.9377992018779338</v>
      </c>
      <c r="AG31" s="1">
        <f t="shared" si="16"/>
        <v>-0.0019069096122843465</v>
      </c>
      <c r="AH31" s="5">
        <f t="shared" si="17"/>
        <v>-0.049227193625700355</v>
      </c>
      <c r="AI31" s="1">
        <f t="shared" si="18"/>
        <v>3.873691494143583</v>
      </c>
      <c r="AJ31" s="7">
        <f t="shared" si="19"/>
        <v>188.33604833081782</v>
      </c>
      <c r="AK31" s="7">
        <f t="shared" si="1"/>
        <v>1.8365244819003967</v>
      </c>
      <c r="AL31" s="2">
        <f t="shared" si="20"/>
        <v>188.59941216076265</v>
      </c>
      <c r="AM31" s="16">
        <f t="shared" si="21"/>
        <v>0.4669387073853487</v>
      </c>
      <c r="AN31" s="16">
        <f t="shared" si="22"/>
        <v>104.6146243396542</v>
      </c>
      <c r="AO31" s="16">
        <f t="shared" si="23"/>
        <v>58.70951287527556</v>
      </c>
      <c r="AP31" s="16">
        <f t="shared" si="35"/>
        <v>45.90511146437865</v>
      </c>
      <c r="AQ31" s="16">
        <f t="shared" si="24"/>
        <v>1.9736593763855217</v>
      </c>
      <c r="AR31" s="16">
        <f t="shared" si="25"/>
        <v>1.01544502136313</v>
      </c>
      <c r="AS31" s="16">
        <f t="shared" si="26"/>
        <v>113.65529345791686</v>
      </c>
      <c r="AT31" s="16">
        <f t="shared" si="27"/>
        <v>88.95488835779054</v>
      </c>
    </row>
    <row r="32" spans="1:46" ht="12.75">
      <c r="A32" s="10" t="s">
        <v>63</v>
      </c>
      <c r="C32" s="3">
        <v>7.7</v>
      </c>
      <c r="D32" s="1">
        <v>2</v>
      </c>
      <c r="E32" s="1">
        <v>0.5</v>
      </c>
      <c r="F32" s="1">
        <f t="shared" si="28"/>
        <v>1.8</v>
      </c>
      <c r="G32" s="1">
        <f t="shared" si="29"/>
        <v>36</v>
      </c>
      <c r="J32" s="1">
        <v>2.5</v>
      </c>
      <c r="K32" s="1">
        <v>0</v>
      </c>
      <c r="L32" s="1">
        <v>0</v>
      </c>
      <c r="M32" s="1">
        <v>0.5</v>
      </c>
      <c r="N32" s="1">
        <f t="shared" si="30"/>
        <v>119.56634660388418</v>
      </c>
      <c r="O32" s="1">
        <f t="shared" si="31"/>
        <v>0.29615743880241396</v>
      </c>
      <c r="P32" s="1">
        <f t="shared" si="32"/>
        <v>119.86743999999997</v>
      </c>
      <c r="Q32" s="3">
        <f t="shared" si="33"/>
        <v>1.9650399999999995</v>
      </c>
      <c r="R32" s="5">
        <f t="shared" si="34"/>
        <v>125.85501669161863</v>
      </c>
      <c r="S32" s="4">
        <f t="shared" si="2"/>
        <v>0.08658008658008658</v>
      </c>
      <c r="T32" s="4">
        <f t="shared" si="3"/>
        <v>0.01278772378516624</v>
      </c>
      <c r="U32" s="4">
        <f t="shared" si="4"/>
        <v>0.14814814814814814</v>
      </c>
      <c r="V32" s="4">
        <f t="shared" si="5"/>
        <v>1.7964071856287427</v>
      </c>
      <c r="W32" s="4">
        <f t="shared" si="6"/>
        <v>0</v>
      </c>
      <c r="X32" s="4">
        <f t="shared" si="7"/>
        <v>0</v>
      </c>
      <c r="Y32" s="4">
        <f t="shared" si="8"/>
        <v>0.07042253521126761</v>
      </c>
      <c r="Z32" s="4">
        <f t="shared" si="9"/>
        <v>0</v>
      </c>
      <c r="AA32" s="4">
        <f t="shared" si="10"/>
        <v>0</v>
      </c>
      <c r="AB32" s="4">
        <f t="shared" si="11"/>
        <v>0.010416666666666666</v>
      </c>
      <c r="AC32" s="4">
        <f t="shared" si="12"/>
        <v>1.960104042686626</v>
      </c>
      <c r="AD32" s="4">
        <f t="shared" si="13"/>
        <v>0.004935957313373566</v>
      </c>
      <c r="AE32" s="1">
        <f t="shared" si="14"/>
        <v>2.0439231441421435</v>
      </c>
      <c r="AF32" s="1">
        <f t="shared" si="15"/>
        <v>2.045879201877934</v>
      </c>
      <c r="AG32" s="1">
        <f t="shared" si="16"/>
        <v>-0.0019560577357906617</v>
      </c>
      <c r="AH32" s="5">
        <f t="shared" si="17"/>
        <v>-0.04782768384135157</v>
      </c>
      <c r="AI32" s="1">
        <f t="shared" si="18"/>
        <v>4.089802346020077</v>
      </c>
      <c r="AJ32" s="7">
        <f t="shared" si="19"/>
        <v>198.69893353221946</v>
      </c>
      <c r="AK32" s="7">
        <f t="shared" si="1"/>
        <v>1.9445553337768908</v>
      </c>
      <c r="AL32" s="2">
        <f t="shared" si="20"/>
        <v>198.59886927044352</v>
      </c>
      <c r="AM32" s="16">
        <f t="shared" si="21"/>
        <v>0.46692303971878485</v>
      </c>
      <c r="AN32" s="16">
        <f t="shared" si="22"/>
        <v>104.55969528471236</v>
      </c>
      <c r="AO32" s="16">
        <f t="shared" si="23"/>
        <v>58.72552233260561</v>
      </c>
      <c r="AP32" s="16">
        <f t="shared" si="35"/>
        <v>45.834172952106755</v>
      </c>
      <c r="AQ32" s="16">
        <f t="shared" si="24"/>
        <v>1.9750862864334429</v>
      </c>
      <c r="AR32" s="16">
        <f t="shared" si="25"/>
        <v>1.0148965524279636</v>
      </c>
      <c r="AS32" s="16">
        <f t="shared" si="26"/>
        <v>120.03045424744892</v>
      </c>
      <c r="AT32" s="16">
        <f t="shared" si="27"/>
        <v>93.77118117799137</v>
      </c>
    </row>
    <row r="33" spans="1:46" ht="12.75">
      <c r="A33" s="10" t="s">
        <v>67</v>
      </c>
      <c r="C33" s="3">
        <v>7.7</v>
      </c>
      <c r="D33" s="1">
        <v>2</v>
      </c>
      <c r="E33" s="1">
        <v>0.5</v>
      </c>
      <c r="F33" s="1">
        <f t="shared" si="28"/>
        <v>1.9</v>
      </c>
      <c r="G33" s="1">
        <f t="shared" si="29"/>
        <v>38</v>
      </c>
      <c r="J33" s="1">
        <v>2.5</v>
      </c>
      <c r="K33" s="1">
        <v>0</v>
      </c>
      <c r="L33" s="1">
        <v>0</v>
      </c>
      <c r="M33" s="1">
        <v>0.5</v>
      </c>
      <c r="N33" s="1">
        <f t="shared" si="30"/>
        <v>126.1426660380676</v>
      </c>
      <c r="O33" s="1">
        <f t="shared" si="31"/>
        <v>0.3124465199334673</v>
      </c>
      <c r="P33" s="1">
        <f t="shared" si="32"/>
        <v>126.46031999999997</v>
      </c>
      <c r="Q33" s="3">
        <f t="shared" si="33"/>
        <v>2.0731199999999994</v>
      </c>
      <c r="R33" s="5">
        <f t="shared" si="34"/>
        <v>132.7772219413999</v>
      </c>
      <c r="S33" s="4">
        <f t="shared" si="2"/>
        <v>0.08658008658008658</v>
      </c>
      <c r="T33" s="4">
        <f t="shared" si="3"/>
        <v>0.01278772378516624</v>
      </c>
      <c r="U33" s="4">
        <f t="shared" si="4"/>
        <v>0.15637860082304525</v>
      </c>
      <c r="V33" s="4">
        <f t="shared" si="5"/>
        <v>1.8962075848303395</v>
      </c>
      <c r="W33" s="4">
        <f t="shared" si="6"/>
        <v>0</v>
      </c>
      <c r="X33" s="4">
        <f t="shared" si="7"/>
        <v>0</v>
      </c>
      <c r="Y33" s="4">
        <f t="shared" si="8"/>
        <v>0.07042253521126761</v>
      </c>
      <c r="Z33" s="4">
        <f t="shared" si="9"/>
        <v>0</v>
      </c>
      <c r="AA33" s="4">
        <f t="shared" si="10"/>
        <v>0</v>
      </c>
      <c r="AB33" s="4">
        <f t="shared" si="11"/>
        <v>0.010416666666666666</v>
      </c>
      <c r="AC33" s="4">
        <f t="shared" si="12"/>
        <v>2.067912558001108</v>
      </c>
      <c r="AD33" s="4">
        <f t="shared" si="13"/>
        <v>0.005207441998891121</v>
      </c>
      <c r="AE33" s="1">
        <f t="shared" si="14"/>
        <v>2.1519539960186376</v>
      </c>
      <c r="AF33" s="1">
        <f t="shared" si="15"/>
        <v>2.153959201877934</v>
      </c>
      <c r="AG33" s="1">
        <f t="shared" si="16"/>
        <v>-0.0020052058592963107</v>
      </c>
      <c r="AH33" s="5">
        <f t="shared" si="17"/>
        <v>-0.04656865494352857</v>
      </c>
      <c r="AI33" s="1">
        <f t="shared" si="18"/>
        <v>4.3059131978965715</v>
      </c>
      <c r="AJ33" s="7">
        <f t="shared" si="19"/>
        <v>209.06181873362104</v>
      </c>
      <c r="AK33" s="7">
        <f t="shared" si="1"/>
        <v>2.052586185653385</v>
      </c>
      <c r="AL33" s="2">
        <f t="shared" si="20"/>
        <v>208.5663522915716</v>
      </c>
      <c r="AM33" s="16">
        <f t="shared" si="21"/>
        <v>0.4669094573001582</v>
      </c>
      <c r="AN33" s="16">
        <f t="shared" si="22"/>
        <v>104.51027785460835</v>
      </c>
      <c r="AO33" s="16">
        <f t="shared" si="23"/>
        <v>58.73992439933469</v>
      </c>
      <c r="AP33" s="16">
        <f t="shared" si="35"/>
        <v>45.77035345527366</v>
      </c>
      <c r="AQ33" s="16">
        <f t="shared" si="24"/>
        <v>1.9763665451935966</v>
      </c>
      <c r="AR33" s="16">
        <f t="shared" si="25"/>
        <v>1.0144028658310833</v>
      </c>
      <c r="AS33" s="16">
        <f t="shared" si="26"/>
        <v>126.40561503698096</v>
      </c>
      <c r="AT33" s="16">
        <f t="shared" si="27"/>
        <v>98.58747399819218</v>
      </c>
    </row>
    <row r="34" spans="1:46" ht="12.75">
      <c r="A34" s="10" t="s">
        <v>68</v>
      </c>
      <c r="C34" s="3">
        <v>7.7</v>
      </c>
      <c r="D34" s="1">
        <v>2</v>
      </c>
      <c r="E34" s="1">
        <v>0.5</v>
      </c>
      <c r="F34" s="1">
        <f t="shared" si="28"/>
        <v>2</v>
      </c>
      <c r="G34" s="1">
        <f t="shared" si="29"/>
        <v>40</v>
      </c>
      <c r="J34" s="1">
        <v>2.5</v>
      </c>
      <c r="K34" s="1">
        <v>0</v>
      </c>
      <c r="L34" s="1">
        <v>0</v>
      </c>
      <c r="M34" s="1">
        <v>0.5</v>
      </c>
      <c r="N34" s="1">
        <f t="shared" si="30"/>
        <v>132.71898547225103</v>
      </c>
      <c r="O34" s="1">
        <f t="shared" si="31"/>
        <v>0.32873560106452054</v>
      </c>
      <c r="P34" s="1">
        <f t="shared" si="32"/>
        <v>133.05319999999998</v>
      </c>
      <c r="Q34" s="3">
        <f t="shared" si="33"/>
        <v>2.1811999999999996</v>
      </c>
      <c r="R34" s="5">
        <f t="shared" si="34"/>
        <v>139.69942719118114</v>
      </c>
      <c r="S34" s="4">
        <f t="shared" si="2"/>
        <v>0.08658008658008658</v>
      </c>
      <c r="T34" s="4">
        <f t="shared" si="3"/>
        <v>0.01278772378516624</v>
      </c>
      <c r="U34" s="4">
        <f t="shared" si="4"/>
        <v>0.1646090534979424</v>
      </c>
      <c r="V34" s="4">
        <f t="shared" si="5"/>
        <v>1.9960079840319362</v>
      </c>
      <c r="W34" s="4">
        <f t="shared" si="6"/>
        <v>0</v>
      </c>
      <c r="X34" s="4">
        <f t="shared" si="7"/>
        <v>0</v>
      </c>
      <c r="Y34" s="4">
        <f t="shared" si="8"/>
        <v>0.07042253521126761</v>
      </c>
      <c r="Z34" s="4">
        <f t="shared" si="9"/>
        <v>0</v>
      </c>
      <c r="AA34" s="4">
        <f t="shared" si="10"/>
        <v>0</v>
      </c>
      <c r="AB34" s="4">
        <f t="shared" si="11"/>
        <v>0.010416666666666666</v>
      </c>
      <c r="AC34" s="4">
        <f t="shared" si="12"/>
        <v>2.1757210733155907</v>
      </c>
      <c r="AD34" s="4">
        <f t="shared" si="13"/>
        <v>0.005478926684408676</v>
      </c>
      <c r="AE34" s="1">
        <f t="shared" si="14"/>
        <v>2.259984847895131</v>
      </c>
      <c r="AF34" s="1">
        <f t="shared" si="15"/>
        <v>2.262039201877934</v>
      </c>
      <c r="AG34" s="1">
        <f t="shared" si="16"/>
        <v>-0.002054353982802848</v>
      </c>
      <c r="AH34" s="5">
        <f t="shared" si="17"/>
        <v>-0.04542996587791133</v>
      </c>
      <c r="AI34" s="1">
        <f t="shared" si="18"/>
        <v>4.522024049773066</v>
      </c>
      <c r="AJ34" s="7">
        <f t="shared" si="19"/>
        <v>219.4247039350227</v>
      </c>
      <c r="AK34" s="7">
        <f t="shared" si="1"/>
        <v>2.1606170375298785</v>
      </c>
      <c r="AL34" s="2">
        <f t="shared" si="20"/>
        <v>218.5026747527885</v>
      </c>
      <c r="AM34" s="16">
        <f t="shared" si="21"/>
        <v>0.4668975912768445</v>
      </c>
      <c r="AN34" s="16">
        <f t="shared" si="22"/>
        <v>104.46558211931236</v>
      </c>
      <c r="AO34" s="16">
        <f t="shared" si="23"/>
        <v>58.7529495829055</v>
      </c>
      <c r="AP34" s="16">
        <f t="shared" si="35"/>
        <v>45.71263253640685</v>
      </c>
      <c r="AQ34" s="16">
        <f t="shared" si="24"/>
        <v>1.9775216558874313</v>
      </c>
      <c r="AR34" s="16">
        <f t="shared" si="25"/>
        <v>1.0139561442973413</v>
      </c>
      <c r="AS34" s="16">
        <f t="shared" si="26"/>
        <v>132.780775826513</v>
      </c>
      <c r="AT34" s="16">
        <f t="shared" si="27"/>
        <v>103.40376681839304</v>
      </c>
    </row>
    <row r="35" spans="1:46" ht="12.75">
      <c r="A35" s="10" t="s">
        <v>69</v>
      </c>
      <c r="C35" s="3">
        <v>7.7</v>
      </c>
      <c r="D35" s="1">
        <v>2</v>
      </c>
      <c r="E35" s="1">
        <v>0.5</v>
      </c>
      <c r="F35" s="1">
        <f t="shared" si="28"/>
        <v>2.1</v>
      </c>
      <c r="G35" s="1">
        <f t="shared" si="29"/>
        <v>42</v>
      </c>
      <c r="J35" s="1">
        <v>2.5</v>
      </c>
      <c r="K35" s="1">
        <v>0</v>
      </c>
      <c r="L35" s="1">
        <v>0</v>
      </c>
      <c r="M35" s="1">
        <v>0.5</v>
      </c>
      <c r="N35" s="1">
        <f t="shared" si="30"/>
        <v>139.2953049064345</v>
      </c>
      <c r="O35" s="1">
        <f t="shared" si="31"/>
        <v>0.34502468219557386</v>
      </c>
      <c r="P35" s="1">
        <f t="shared" si="32"/>
        <v>139.64607999999998</v>
      </c>
      <c r="Q35" s="3">
        <f t="shared" si="33"/>
        <v>2.2892799999999998</v>
      </c>
      <c r="R35" s="5">
        <f t="shared" si="34"/>
        <v>146.6216324409624</v>
      </c>
      <c r="S35" s="4">
        <f t="shared" si="2"/>
        <v>0.08658008658008658</v>
      </c>
      <c r="T35" s="4">
        <f t="shared" si="3"/>
        <v>0.01278772378516624</v>
      </c>
      <c r="U35" s="4">
        <f t="shared" si="4"/>
        <v>0.1728395061728395</v>
      </c>
      <c r="V35" s="4">
        <f t="shared" si="5"/>
        <v>2.095808383233533</v>
      </c>
      <c r="W35" s="4">
        <f t="shared" si="6"/>
        <v>0</v>
      </c>
      <c r="X35" s="4">
        <f t="shared" si="7"/>
        <v>0</v>
      </c>
      <c r="Y35" s="4">
        <f t="shared" si="8"/>
        <v>0.07042253521126761</v>
      </c>
      <c r="Z35" s="4">
        <f t="shared" si="9"/>
        <v>0</v>
      </c>
      <c r="AA35" s="4">
        <f t="shared" si="10"/>
        <v>0</v>
      </c>
      <c r="AB35" s="4">
        <f t="shared" si="11"/>
        <v>0.010416666666666666</v>
      </c>
      <c r="AC35" s="4">
        <f t="shared" si="12"/>
        <v>2.2835295886300737</v>
      </c>
      <c r="AD35" s="4">
        <f t="shared" si="13"/>
        <v>0.005750411369926231</v>
      </c>
      <c r="AE35" s="1">
        <f t="shared" si="14"/>
        <v>2.3680156997716253</v>
      </c>
      <c r="AF35" s="1">
        <f t="shared" si="15"/>
        <v>2.3701192018779342</v>
      </c>
      <c r="AG35" s="1">
        <f t="shared" si="16"/>
        <v>-0.002103502106308941</v>
      </c>
      <c r="AH35" s="5">
        <f t="shared" si="17"/>
        <v>-0.044395150200907466</v>
      </c>
      <c r="AI35" s="1">
        <f t="shared" si="18"/>
        <v>4.738134901649559</v>
      </c>
      <c r="AJ35" s="7">
        <f t="shared" si="19"/>
        <v>229.78758913642434</v>
      </c>
      <c r="AK35" s="7">
        <f t="shared" si="1"/>
        <v>2.268647889406372</v>
      </c>
      <c r="AL35" s="2">
        <f t="shared" si="20"/>
        <v>228.40859113224593</v>
      </c>
      <c r="AM35" s="16">
        <f t="shared" si="21"/>
        <v>0.46688715224930727</v>
      </c>
      <c r="AN35" s="16">
        <f t="shared" si="22"/>
        <v>104.42496221723842</v>
      </c>
      <c r="AO35" s="16">
        <f t="shared" si="23"/>
        <v>58.76478632699328</v>
      </c>
      <c r="AP35" s="16">
        <f t="shared" si="35"/>
        <v>45.660175890245135</v>
      </c>
      <c r="AQ35" s="16">
        <f t="shared" si="24"/>
        <v>1.9785691136624235</v>
      </c>
      <c r="AR35" s="16">
        <f t="shared" si="25"/>
        <v>1.0135499903533554</v>
      </c>
      <c r="AS35" s="16">
        <f t="shared" si="26"/>
        <v>139.15593661604504</v>
      </c>
      <c r="AT35" s="16">
        <f t="shared" si="27"/>
        <v>108.2200596385939</v>
      </c>
    </row>
    <row r="36" spans="1:46" ht="12.75">
      <c r="A36" s="10" t="s">
        <v>70</v>
      </c>
      <c r="C36" s="3">
        <v>7.7</v>
      </c>
      <c r="D36" s="1">
        <v>2</v>
      </c>
      <c r="E36" s="1">
        <v>0.5</v>
      </c>
      <c r="F36" s="1">
        <f t="shared" si="28"/>
        <v>2.2</v>
      </c>
      <c r="G36" s="1">
        <f t="shared" si="29"/>
        <v>44</v>
      </c>
      <c r="J36" s="1">
        <v>2.5</v>
      </c>
      <c r="K36" s="1">
        <v>0</v>
      </c>
      <c r="L36" s="1">
        <v>0</v>
      </c>
      <c r="M36" s="1">
        <v>0.5</v>
      </c>
      <c r="N36" s="1">
        <f t="shared" si="30"/>
        <v>145.87162434061793</v>
      </c>
      <c r="O36" s="1">
        <f t="shared" si="31"/>
        <v>0.3613137633266271</v>
      </c>
      <c r="P36" s="1">
        <f t="shared" si="32"/>
        <v>146.23896</v>
      </c>
      <c r="Q36" s="3">
        <f t="shared" si="33"/>
        <v>2.39736</v>
      </c>
      <c r="R36" s="5">
        <f t="shared" si="34"/>
        <v>153.54383769074366</v>
      </c>
      <c r="S36" s="4">
        <f t="shared" si="2"/>
        <v>0.08658008658008658</v>
      </c>
      <c r="T36" s="4">
        <f t="shared" si="3"/>
        <v>0.01278772378516624</v>
      </c>
      <c r="U36" s="4">
        <f t="shared" si="4"/>
        <v>0.18106995884773663</v>
      </c>
      <c r="V36" s="4">
        <f t="shared" si="5"/>
        <v>2.19560878243513</v>
      </c>
      <c r="W36" s="4">
        <f t="shared" si="6"/>
        <v>0</v>
      </c>
      <c r="X36" s="4">
        <f t="shared" si="7"/>
        <v>0</v>
      </c>
      <c r="Y36" s="4">
        <f t="shared" si="8"/>
        <v>0.07042253521126761</v>
      </c>
      <c r="Z36" s="4">
        <f t="shared" si="9"/>
        <v>0</v>
      </c>
      <c r="AA36" s="4">
        <f t="shared" si="10"/>
        <v>0</v>
      </c>
      <c r="AB36" s="4">
        <f t="shared" si="11"/>
        <v>0.010416666666666666</v>
      </c>
      <c r="AC36" s="4">
        <f t="shared" si="12"/>
        <v>2.3913381039445563</v>
      </c>
      <c r="AD36" s="4">
        <f t="shared" si="13"/>
        <v>0.0060218960554437855</v>
      </c>
      <c r="AE36" s="1">
        <f t="shared" si="14"/>
        <v>2.4760465516481194</v>
      </c>
      <c r="AF36" s="1">
        <f t="shared" si="15"/>
        <v>2.4781992018779344</v>
      </c>
      <c r="AG36" s="1">
        <f t="shared" si="16"/>
        <v>-0.002152650229815034</v>
      </c>
      <c r="AH36" s="5">
        <f t="shared" si="17"/>
        <v>-0.04345061462247693</v>
      </c>
      <c r="AI36" s="1">
        <f t="shared" si="18"/>
        <v>4.954245753526054</v>
      </c>
      <c r="AJ36" s="7">
        <f t="shared" si="19"/>
        <v>240.150474337826</v>
      </c>
      <c r="AK36" s="7">
        <f t="shared" si="1"/>
        <v>2.3766787412828667</v>
      </c>
      <c r="AL36" s="2">
        <f t="shared" si="20"/>
        <v>238.28480366654816</v>
      </c>
      <c r="AM36" s="16">
        <f t="shared" si="21"/>
        <v>0.46687791040707943</v>
      </c>
      <c r="AN36" s="16">
        <f t="shared" si="22"/>
        <v>104.38788494325377</v>
      </c>
      <c r="AO36" s="16">
        <f t="shared" si="23"/>
        <v>58.77559018779673</v>
      </c>
      <c r="AP36" s="16">
        <f t="shared" si="35"/>
        <v>45.61229475545704</v>
      </c>
      <c r="AQ36" s="16">
        <f t="shared" si="24"/>
        <v>1.9795232978652215</v>
      </c>
      <c r="AR36" s="16">
        <f t="shared" si="25"/>
        <v>1.0131791179909009</v>
      </c>
      <c r="AS36" s="16">
        <f t="shared" si="26"/>
        <v>145.53109740557713</v>
      </c>
      <c r="AT36" s="16">
        <f t="shared" si="27"/>
        <v>113.03635245879474</v>
      </c>
    </row>
    <row r="37" spans="1:46" ht="12.75">
      <c r="A37" s="10" t="s">
        <v>71</v>
      </c>
      <c r="C37" s="3">
        <v>7.7</v>
      </c>
      <c r="D37" s="1">
        <v>2</v>
      </c>
      <c r="E37" s="1">
        <v>0.5</v>
      </c>
      <c r="F37" s="1">
        <f t="shared" si="28"/>
        <v>2.3</v>
      </c>
      <c r="G37" s="1">
        <f t="shared" si="29"/>
        <v>46</v>
      </c>
      <c r="J37" s="1">
        <v>2.5</v>
      </c>
      <c r="K37" s="1">
        <v>0</v>
      </c>
      <c r="L37" s="1">
        <v>0</v>
      </c>
      <c r="M37" s="1">
        <v>0.5</v>
      </c>
      <c r="N37" s="1">
        <f t="shared" si="30"/>
        <v>152.44794377480136</v>
      </c>
      <c r="O37" s="1">
        <f t="shared" si="31"/>
        <v>0.3776028444576804</v>
      </c>
      <c r="P37" s="1">
        <f t="shared" si="32"/>
        <v>152.83184</v>
      </c>
      <c r="Q37" s="3">
        <f t="shared" si="33"/>
        <v>2.50544</v>
      </c>
      <c r="R37" s="5">
        <f t="shared" si="34"/>
        <v>160.46604294052491</v>
      </c>
      <c r="S37" s="4">
        <f t="shared" si="2"/>
        <v>0.08658008658008658</v>
      </c>
      <c r="T37" s="4">
        <f t="shared" si="3"/>
        <v>0.01278772378516624</v>
      </c>
      <c r="U37" s="4">
        <f t="shared" si="4"/>
        <v>0.18930041152263372</v>
      </c>
      <c r="V37" s="4">
        <f t="shared" si="5"/>
        <v>2.295409181636727</v>
      </c>
      <c r="W37" s="4">
        <f t="shared" si="6"/>
        <v>0</v>
      </c>
      <c r="X37" s="4">
        <f t="shared" si="7"/>
        <v>0</v>
      </c>
      <c r="Y37" s="4">
        <f t="shared" si="8"/>
        <v>0.07042253521126761</v>
      </c>
      <c r="Z37" s="4">
        <f t="shared" si="9"/>
        <v>0</v>
      </c>
      <c r="AA37" s="4">
        <f t="shared" si="10"/>
        <v>0</v>
      </c>
      <c r="AB37" s="4">
        <f t="shared" si="11"/>
        <v>0.010416666666666666</v>
      </c>
      <c r="AC37" s="4">
        <f t="shared" si="12"/>
        <v>2.499146619259039</v>
      </c>
      <c r="AD37" s="4">
        <f t="shared" si="13"/>
        <v>0.0062933807409613395</v>
      </c>
      <c r="AE37" s="1">
        <f t="shared" si="14"/>
        <v>2.5840774035246135</v>
      </c>
      <c r="AF37" s="1">
        <f t="shared" si="15"/>
        <v>2.5862792018779346</v>
      </c>
      <c r="AG37" s="1">
        <f t="shared" si="16"/>
        <v>-0.002201798353321127</v>
      </c>
      <c r="AH37" s="5">
        <f t="shared" si="17"/>
        <v>-0.042585038544932285</v>
      </c>
      <c r="AI37" s="1">
        <f t="shared" si="18"/>
        <v>5.170356605402548</v>
      </c>
      <c r="AJ37" s="7">
        <f t="shared" si="19"/>
        <v>250.5133595392276</v>
      </c>
      <c r="AK37" s="7">
        <f t="shared" si="1"/>
        <v>2.4847095931593604</v>
      </c>
      <c r="AL37" s="2">
        <f t="shared" si="20"/>
        <v>248.13196810982694</v>
      </c>
      <c r="AM37" s="16">
        <f t="shared" si="21"/>
        <v>0.4668696812553803</v>
      </c>
      <c r="AN37" s="16">
        <f t="shared" si="22"/>
        <v>104.35390621197286</v>
      </c>
      <c r="AO37" s="16">
        <f t="shared" si="23"/>
        <v>58.785490708565085</v>
      </c>
      <c r="AP37" s="16">
        <f t="shared" si="35"/>
        <v>45.56841550340778</v>
      </c>
      <c r="AQ37" s="16">
        <f t="shared" si="24"/>
        <v>1.9803961361110143</v>
      </c>
      <c r="AR37" s="16">
        <f t="shared" si="25"/>
        <v>1.0128391213388335</v>
      </c>
      <c r="AS37" s="16">
        <f t="shared" si="26"/>
        <v>151.90625819510916</v>
      </c>
      <c r="AT37" s="16">
        <f t="shared" si="27"/>
        <v>117.85264527899557</v>
      </c>
    </row>
    <row r="38" spans="1:46" ht="12.75">
      <c r="A38" s="10" t="s">
        <v>72</v>
      </c>
      <c r="C38" s="3">
        <v>7.7</v>
      </c>
      <c r="D38" s="1">
        <v>2</v>
      </c>
      <c r="E38" s="1">
        <v>0.5</v>
      </c>
      <c r="F38" s="1">
        <f t="shared" si="28"/>
        <v>2.4</v>
      </c>
      <c r="G38" s="1">
        <f t="shared" si="29"/>
        <v>48</v>
      </c>
      <c r="J38" s="1">
        <v>2.5</v>
      </c>
      <c r="K38" s="1">
        <v>0</v>
      </c>
      <c r="L38" s="1">
        <v>0</v>
      </c>
      <c r="M38" s="1">
        <v>0.5</v>
      </c>
      <c r="N38" s="1">
        <f t="shared" si="30"/>
        <v>159.0242632089848</v>
      </c>
      <c r="O38" s="1">
        <f t="shared" si="31"/>
        <v>0.39389192558873365</v>
      </c>
      <c r="P38" s="1">
        <f t="shared" si="32"/>
        <v>159.42472</v>
      </c>
      <c r="Q38" s="3">
        <f t="shared" si="33"/>
        <v>2.6135200000000003</v>
      </c>
      <c r="R38" s="5">
        <f t="shared" si="34"/>
        <v>167.38824819030617</v>
      </c>
      <c r="S38" s="4">
        <f t="shared" si="2"/>
        <v>0.08658008658008658</v>
      </c>
      <c r="T38" s="4">
        <f t="shared" si="3"/>
        <v>0.01278772378516624</v>
      </c>
      <c r="U38" s="4">
        <f t="shared" si="4"/>
        <v>0.19753086419753085</v>
      </c>
      <c r="V38" s="4">
        <f t="shared" si="5"/>
        <v>2.3952095808383236</v>
      </c>
      <c r="W38" s="4">
        <f t="shared" si="6"/>
        <v>0</v>
      </c>
      <c r="X38" s="4">
        <f t="shared" si="7"/>
        <v>0</v>
      </c>
      <c r="Y38" s="4">
        <f t="shared" si="8"/>
        <v>0.07042253521126761</v>
      </c>
      <c r="Z38" s="4">
        <f t="shared" si="9"/>
        <v>0</v>
      </c>
      <c r="AA38" s="4">
        <f t="shared" si="10"/>
        <v>0</v>
      </c>
      <c r="AB38" s="4">
        <f t="shared" si="11"/>
        <v>0.010416666666666666</v>
      </c>
      <c r="AC38" s="4">
        <f t="shared" si="12"/>
        <v>2.6069551345735213</v>
      </c>
      <c r="AD38" s="4">
        <f t="shared" si="13"/>
        <v>0.006564865426478894</v>
      </c>
      <c r="AE38" s="1">
        <f t="shared" si="14"/>
        <v>2.692108255401107</v>
      </c>
      <c r="AF38" s="1">
        <f t="shared" si="15"/>
        <v>2.6943592018779348</v>
      </c>
      <c r="AG38" s="1">
        <f t="shared" si="16"/>
        <v>-0.0022509464768276644</v>
      </c>
      <c r="AH38" s="5">
        <f t="shared" si="17"/>
        <v>-0.041788918148680756</v>
      </c>
      <c r="AI38" s="1">
        <f t="shared" si="18"/>
        <v>5.386467457279042</v>
      </c>
      <c r="AJ38" s="7">
        <f t="shared" si="19"/>
        <v>260.87624474062926</v>
      </c>
      <c r="AK38" s="7">
        <f t="shared" si="1"/>
        <v>2.5927404450358544</v>
      </c>
      <c r="AL38" s="2">
        <f t="shared" si="20"/>
        <v>257.9506986421273</v>
      </c>
      <c r="AM38" s="16">
        <f t="shared" si="21"/>
        <v>0.4668623151980872</v>
      </c>
      <c r="AN38" s="16">
        <f t="shared" si="22"/>
        <v>104.32265318524989</v>
      </c>
      <c r="AO38" s="16">
        <f t="shared" si="23"/>
        <v>58.79459663892983</v>
      </c>
      <c r="AP38" s="16">
        <f t="shared" si="35"/>
        <v>45.528056546320066</v>
      </c>
      <c r="AQ38" s="16">
        <f t="shared" si="24"/>
        <v>1.9811976054570801</v>
      </c>
      <c r="AR38" s="16">
        <f t="shared" si="25"/>
        <v>1.0125262988014598</v>
      </c>
      <c r="AS38" s="16">
        <f t="shared" si="26"/>
        <v>158.2814189846412</v>
      </c>
      <c r="AT38" s="16">
        <f t="shared" si="27"/>
        <v>122.66893809919641</v>
      </c>
    </row>
    <row r="39" spans="1:46" ht="12.75">
      <c r="A39" s="10" t="s">
        <v>73</v>
      </c>
      <c r="C39" s="3">
        <v>7.7</v>
      </c>
      <c r="D39" s="1">
        <v>2</v>
      </c>
      <c r="E39" s="1">
        <v>0.5</v>
      </c>
      <c r="F39" s="1">
        <f t="shared" si="28"/>
        <v>2.5</v>
      </c>
      <c r="G39" s="1">
        <f t="shared" si="29"/>
        <v>50</v>
      </c>
      <c r="J39" s="1">
        <v>2.5</v>
      </c>
      <c r="K39" s="1">
        <v>0</v>
      </c>
      <c r="L39" s="1">
        <v>0</v>
      </c>
      <c r="M39" s="1">
        <v>0.5</v>
      </c>
      <c r="N39" s="1">
        <f t="shared" si="30"/>
        <v>165.60058264316822</v>
      </c>
      <c r="O39" s="1">
        <f t="shared" si="31"/>
        <v>0.41018100671978697</v>
      </c>
      <c r="P39" s="1">
        <f t="shared" si="32"/>
        <v>166.01760000000002</v>
      </c>
      <c r="Q39" s="3">
        <f t="shared" si="33"/>
        <v>2.7216000000000005</v>
      </c>
      <c r="R39" s="5">
        <f t="shared" si="34"/>
        <v>174.31045344008743</v>
      </c>
      <c r="S39" s="4">
        <f t="shared" si="2"/>
        <v>0.08658008658008658</v>
      </c>
      <c r="T39" s="4">
        <f t="shared" si="3"/>
        <v>0.01278772378516624</v>
      </c>
      <c r="U39" s="4">
        <f t="shared" si="4"/>
        <v>0.205761316872428</v>
      </c>
      <c r="V39" s="4">
        <f t="shared" si="5"/>
        <v>2.4950099800399204</v>
      </c>
      <c r="W39" s="4">
        <f t="shared" si="6"/>
        <v>0</v>
      </c>
      <c r="X39" s="4">
        <f t="shared" si="7"/>
        <v>0</v>
      </c>
      <c r="Y39" s="4">
        <f t="shared" si="8"/>
        <v>0.07042253521126761</v>
      </c>
      <c r="Z39" s="4">
        <f t="shared" si="9"/>
        <v>0</v>
      </c>
      <c r="AA39" s="4">
        <f t="shared" si="10"/>
        <v>0</v>
      </c>
      <c r="AB39" s="4">
        <f t="shared" si="11"/>
        <v>0.010416666666666666</v>
      </c>
      <c r="AC39" s="4">
        <f t="shared" si="12"/>
        <v>2.7147636498880034</v>
      </c>
      <c r="AD39" s="4">
        <f t="shared" si="13"/>
        <v>0.006836350111996449</v>
      </c>
      <c r="AE39" s="1">
        <f t="shared" si="14"/>
        <v>2.800139107277601</v>
      </c>
      <c r="AF39" s="1">
        <f t="shared" si="15"/>
        <v>2.8024392018779345</v>
      </c>
      <c r="AG39" s="1">
        <f t="shared" si="16"/>
        <v>-0.0023000946003333134</v>
      </c>
      <c r="AH39" s="5">
        <f t="shared" si="17"/>
        <v>-0.04105421599506391</v>
      </c>
      <c r="AI39" s="1">
        <f t="shared" si="18"/>
        <v>5.602578309155536</v>
      </c>
      <c r="AJ39" s="7">
        <f t="shared" si="19"/>
        <v>271.2391299420309</v>
      </c>
      <c r="AK39" s="7">
        <f t="shared" si="1"/>
        <v>2.7007712969123485</v>
      </c>
      <c r="AL39" s="2">
        <f t="shared" si="20"/>
        <v>267.7415720820047</v>
      </c>
      <c r="AM39" s="16">
        <f t="shared" si="21"/>
        <v>0.46685568982666903</v>
      </c>
      <c r="AN39" s="16">
        <f t="shared" si="22"/>
        <v>104.29381053489863</v>
      </c>
      <c r="AO39" s="16">
        <f t="shared" si="23"/>
        <v>58.802999946048566</v>
      </c>
      <c r="AP39" s="16">
        <f t="shared" si="35"/>
        <v>45.49081058885005</v>
      </c>
      <c r="AQ39" s="16">
        <f t="shared" si="24"/>
        <v>1.9819361154674386</v>
      </c>
      <c r="AR39" s="16">
        <f t="shared" si="25"/>
        <v>1.0122375177436091</v>
      </c>
      <c r="AS39" s="16">
        <f t="shared" si="26"/>
        <v>164.65657977417325</v>
      </c>
      <c r="AT39" s="16">
        <f t="shared" si="27"/>
        <v>127.48523091939724</v>
      </c>
    </row>
    <row r="40" spans="1:46" ht="12.75">
      <c r="A40" s="10" t="s">
        <v>74</v>
      </c>
      <c r="C40" s="3">
        <v>7.7</v>
      </c>
      <c r="D40" s="1">
        <v>2</v>
      </c>
      <c r="E40" s="1">
        <v>0.5</v>
      </c>
      <c r="F40" s="1">
        <f t="shared" si="28"/>
        <v>2.6</v>
      </c>
      <c r="G40" s="1">
        <f t="shared" si="29"/>
        <v>52</v>
      </c>
      <c r="J40" s="1">
        <v>2.5</v>
      </c>
      <c r="K40" s="1">
        <v>0</v>
      </c>
      <c r="L40" s="1">
        <v>0</v>
      </c>
      <c r="M40" s="1">
        <v>0.5</v>
      </c>
      <c r="N40" s="1">
        <f t="shared" si="30"/>
        <v>172.17690207735168</v>
      </c>
      <c r="O40" s="1">
        <f t="shared" si="31"/>
        <v>0.42647008785084023</v>
      </c>
      <c r="P40" s="1">
        <f t="shared" si="32"/>
        <v>172.61048000000005</v>
      </c>
      <c r="Q40" s="3">
        <f t="shared" si="33"/>
        <v>2.8296800000000006</v>
      </c>
      <c r="R40" s="5">
        <f t="shared" si="34"/>
        <v>181.2326586898687</v>
      </c>
      <c r="S40" s="4">
        <f t="shared" si="2"/>
        <v>0.08658008658008658</v>
      </c>
      <c r="T40" s="4">
        <f t="shared" si="3"/>
        <v>0.01278772378516624</v>
      </c>
      <c r="U40" s="4">
        <f t="shared" si="4"/>
        <v>0.2139917695473251</v>
      </c>
      <c r="V40" s="4">
        <f t="shared" si="5"/>
        <v>2.594810379241517</v>
      </c>
      <c r="W40" s="4">
        <f t="shared" si="6"/>
        <v>0</v>
      </c>
      <c r="X40" s="4">
        <f t="shared" si="7"/>
        <v>0</v>
      </c>
      <c r="Y40" s="4">
        <f t="shared" si="8"/>
        <v>0.07042253521126761</v>
      </c>
      <c r="Z40" s="4">
        <f t="shared" si="9"/>
        <v>0</v>
      </c>
      <c r="AA40" s="4">
        <f t="shared" si="10"/>
        <v>0</v>
      </c>
      <c r="AB40" s="4">
        <f t="shared" si="11"/>
        <v>0.010416666666666666</v>
      </c>
      <c r="AC40" s="4">
        <f t="shared" si="12"/>
        <v>2.8225721652024864</v>
      </c>
      <c r="AD40" s="4">
        <f t="shared" si="13"/>
        <v>0.007107834797514004</v>
      </c>
      <c r="AE40" s="1">
        <f t="shared" si="14"/>
        <v>2.908169959154095</v>
      </c>
      <c r="AF40" s="1">
        <f t="shared" si="15"/>
        <v>2.910519201877935</v>
      </c>
      <c r="AG40" s="1">
        <f t="shared" si="16"/>
        <v>-0.0023492427238402946</v>
      </c>
      <c r="AH40" s="5">
        <f t="shared" si="17"/>
        <v>-0.04037408871354149</v>
      </c>
      <c r="AI40" s="1">
        <f t="shared" si="18"/>
        <v>5.8186891610320295</v>
      </c>
      <c r="AJ40" s="7">
        <f t="shared" si="19"/>
        <v>281.60201514343254</v>
      </c>
      <c r="AK40" s="7">
        <f t="shared" si="1"/>
        <v>2.808802148788842</v>
      </c>
      <c r="AL40" s="2">
        <f t="shared" si="20"/>
        <v>277.5051315251287</v>
      </c>
      <c r="AM40" s="16">
        <f t="shared" si="21"/>
        <v>0.46684970413772714</v>
      </c>
      <c r="AN40" s="16">
        <f t="shared" si="22"/>
        <v>104.26710976584015</v>
      </c>
      <c r="AO40" s="16">
        <f t="shared" si="23"/>
        <v>58.81077893172847</v>
      </c>
      <c r="AP40" s="16">
        <f t="shared" si="35"/>
        <v>45.456330834111675</v>
      </c>
      <c r="AQ40" s="16">
        <f t="shared" si="24"/>
        <v>1.9826188044144566</v>
      </c>
      <c r="AR40" s="16">
        <f t="shared" si="25"/>
        <v>1.0119701092194615</v>
      </c>
      <c r="AS40" s="16">
        <f t="shared" si="26"/>
        <v>171.03174056370528</v>
      </c>
      <c r="AT40" s="16">
        <f t="shared" si="27"/>
        <v>132.30152373959808</v>
      </c>
    </row>
    <row r="41" spans="1:46" ht="12.75">
      <c r="A41" s="10" t="s">
        <v>75</v>
      </c>
      <c r="C41" s="3">
        <v>7.7</v>
      </c>
      <c r="D41" s="1">
        <v>2</v>
      </c>
      <c r="E41" s="1">
        <v>0.5</v>
      </c>
      <c r="F41" s="1">
        <f t="shared" si="28"/>
        <v>2.7</v>
      </c>
      <c r="G41" s="1">
        <f t="shared" si="29"/>
        <v>54</v>
      </c>
      <c r="J41" s="1">
        <v>2.5</v>
      </c>
      <c r="K41" s="1">
        <v>0</v>
      </c>
      <c r="L41" s="1">
        <v>0</v>
      </c>
      <c r="M41" s="1">
        <v>0.5</v>
      </c>
      <c r="N41" s="1">
        <f t="shared" si="30"/>
        <v>178.75322151153514</v>
      </c>
      <c r="O41" s="1">
        <f t="shared" si="31"/>
        <v>0.4427591689818936</v>
      </c>
      <c r="P41" s="1">
        <f t="shared" si="32"/>
        <v>179.20336000000006</v>
      </c>
      <c r="Q41" s="3">
        <f t="shared" si="33"/>
        <v>2.937760000000001</v>
      </c>
      <c r="R41" s="5">
        <f t="shared" si="34"/>
        <v>188.15486393964997</v>
      </c>
      <c r="S41" s="4">
        <f t="shared" si="2"/>
        <v>0.08658008658008658</v>
      </c>
      <c r="T41" s="4">
        <f t="shared" si="3"/>
        <v>0.01278772378516624</v>
      </c>
      <c r="U41" s="4">
        <f t="shared" si="4"/>
        <v>0.22222222222222224</v>
      </c>
      <c r="V41" s="4">
        <f t="shared" si="5"/>
        <v>2.694610778443114</v>
      </c>
      <c r="W41" s="4">
        <f t="shared" si="6"/>
        <v>0</v>
      </c>
      <c r="X41" s="4">
        <f t="shared" si="7"/>
        <v>0</v>
      </c>
      <c r="Y41" s="4">
        <f t="shared" si="8"/>
        <v>0.07042253521126761</v>
      </c>
      <c r="Z41" s="4">
        <f t="shared" si="9"/>
        <v>0</v>
      </c>
      <c r="AA41" s="4">
        <f t="shared" si="10"/>
        <v>0</v>
      </c>
      <c r="AB41" s="4">
        <f t="shared" si="11"/>
        <v>0.010416666666666666</v>
      </c>
      <c r="AC41" s="4">
        <f t="shared" si="12"/>
        <v>2.9303806805169694</v>
      </c>
      <c r="AD41" s="4">
        <f t="shared" si="13"/>
        <v>0.00737931948303156</v>
      </c>
      <c r="AE41" s="1">
        <f t="shared" si="14"/>
        <v>3.016200811030589</v>
      </c>
      <c r="AF41" s="1">
        <f t="shared" si="15"/>
        <v>3.0185992018779353</v>
      </c>
      <c r="AG41" s="1">
        <f t="shared" si="16"/>
        <v>-0.0023983908473463877</v>
      </c>
      <c r="AH41" s="5">
        <f t="shared" si="17"/>
        <v>-0.03974267319904877</v>
      </c>
      <c r="AI41" s="1">
        <f t="shared" si="18"/>
        <v>6.034800012908525</v>
      </c>
      <c r="AJ41" s="7">
        <f t="shared" si="19"/>
        <v>291.96490034483423</v>
      </c>
      <c r="AK41" s="7">
        <f t="shared" si="1"/>
        <v>2.9168330006653362</v>
      </c>
      <c r="AL41" s="2">
        <f t="shared" si="20"/>
        <v>287.24188950562257</v>
      </c>
      <c r="AM41" s="16">
        <f t="shared" si="21"/>
        <v>0.466844274144889</v>
      </c>
      <c r="AN41" s="16">
        <f t="shared" si="22"/>
        <v>104.24232083271119</v>
      </c>
      <c r="AO41" s="16">
        <f t="shared" si="23"/>
        <v>58.81800067967629</v>
      </c>
      <c r="AP41" s="16">
        <f t="shared" si="35"/>
        <v>45.42432015303489</v>
      </c>
      <c r="AQ41" s="16">
        <f t="shared" si="24"/>
        <v>1.983251770760287</v>
      </c>
      <c r="AR41" s="16">
        <f t="shared" si="25"/>
        <v>1.0117217852405163</v>
      </c>
      <c r="AS41" s="16">
        <f t="shared" si="26"/>
        <v>177.40690135323734</v>
      </c>
      <c r="AT41" s="16">
        <f t="shared" si="27"/>
        <v>137.11781655979894</v>
      </c>
    </row>
    <row r="42" spans="1:46" ht="12.75">
      <c r="A42" s="10" t="s">
        <v>76</v>
      </c>
      <c r="C42" s="3">
        <v>7.7</v>
      </c>
      <c r="D42" s="1">
        <v>2</v>
      </c>
      <c r="E42" s="1">
        <v>0.5</v>
      </c>
      <c r="F42" s="1">
        <f t="shared" si="28"/>
        <v>2.8</v>
      </c>
      <c r="G42" s="1">
        <f t="shared" si="29"/>
        <v>56</v>
      </c>
      <c r="J42" s="1">
        <v>2.5</v>
      </c>
      <c r="K42" s="1">
        <v>0</v>
      </c>
      <c r="L42" s="1">
        <v>0</v>
      </c>
      <c r="M42" s="1">
        <v>0.5</v>
      </c>
      <c r="N42" s="1">
        <f t="shared" si="30"/>
        <v>185.32954094571858</v>
      </c>
      <c r="O42" s="1">
        <f t="shared" si="31"/>
        <v>0.45904825011294687</v>
      </c>
      <c r="P42" s="1">
        <f t="shared" si="32"/>
        <v>185.79624000000007</v>
      </c>
      <c r="Q42" s="3">
        <f t="shared" si="33"/>
        <v>3.045840000000001</v>
      </c>
      <c r="R42" s="5">
        <f t="shared" si="34"/>
        <v>195.07706918943123</v>
      </c>
      <c r="S42" s="4">
        <f t="shared" si="2"/>
        <v>0.08658008658008658</v>
      </c>
      <c r="T42" s="4">
        <f t="shared" si="3"/>
        <v>0.01278772378516624</v>
      </c>
      <c r="U42" s="4">
        <f t="shared" si="4"/>
        <v>0.23045267489711932</v>
      </c>
      <c r="V42" s="4">
        <f t="shared" si="5"/>
        <v>2.7944111776447107</v>
      </c>
      <c r="W42" s="4">
        <f t="shared" si="6"/>
        <v>0</v>
      </c>
      <c r="X42" s="4">
        <f t="shared" si="7"/>
        <v>0</v>
      </c>
      <c r="Y42" s="4">
        <f t="shared" si="8"/>
        <v>0.07042253521126761</v>
      </c>
      <c r="Z42" s="4">
        <f t="shared" si="9"/>
        <v>0</v>
      </c>
      <c r="AA42" s="4">
        <f t="shared" si="10"/>
        <v>0</v>
      </c>
      <c r="AB42" s="4">
        <f t="shared" si="11"/>
        <v>0.010416666666666666</v>
      </c>
      <c r="AC42" s="4">
        <f t="shared" si="12"/>
        <v>3.038189195831452</v>
      </c>
      <c r="AD42" s="4">
        <f t="shared" si="13"/>
        <v>0.0076508041685491145</v>
      </c>
      <c r="AE42" s="1">
        <f t="shared" si="14"/>
        <v>3.124231662907083</v>
      </c>
      <c r="AF42" s="1">
        <f t="shared" si="15"/>
        <v>3.1266792018779355</v>
      </c>
      <c r="AG42" s="1">
        <f t="shared" si="16"/>
        <v>-0.002447538970852481</v>
      </c>
      <c r="AH42" s="5">
        <f t="shared" si="17"/>
        <v>-0.03915491716000748</v>
      </c>
      <c r="AI42" s="1">
        <f t="shared" si="18"/>
        <v>6.250910864785018</v>
      </c>
      <c r="AJ42" s="7">
        <f t="shared" si="19"/>
        <v>302.3277855462359</v>
      </c>
      <c r="AK42" s="7">
        <f t="shared" si="1"/>
        <v>3.02486385254183</v>
      </c>
      <c r="AL42" s="2">
        <f t="shared" si="20"/>
        <v>296.95233075767806</v>
      </c>
      <c r="AM42" s="16">
        <f t="shared" si="21"/>
        <v>0.46683932951212515</v>
      </c>
      <c r="AN42" s="16">
        <f t="shared" si="22"/>
        <v>104.21924549503896</v>
      </c>
      <c r="AO42" s="16">
        <f t="shared" si="23"/>
        <v>58.82472299501664</v>
      </c>
      <c r="AP42" s="16">
        <f t="shared" si="35"/>
        <v>45.394522500022326</v>
      </c>
      <c r="AQ42" s="16">
        <f t="shared" si="24"/>
        <v>1.9838402558367156</v>
      </c>
      <c r="AR42" s="16">
        <f t="shared" si="25"/>
        <v>1.0114905731466302</v>
      </c>
      <c r="AS42" s="16">
        <f t="shared" si="26"/>
        <v>183.78206214276938</v>
      </c>
      <c r="AT42" s="16">
        <f t="shared" si="27"/>
        <v>141.9341093799998</v>
      </c>
    </row>
    <row r="43" spans="1:46" ht="12.75">
      <c r="A43" s="10" t="s">
        <v>77</v>
      </c>
      <c r="C43" s="3">
        <v>7.7</v>
      </c>
      <c r="D43" s="1">
        <v>2</v>
      </c>
      <c r="E43" s="1">
        <v>0.5</v>
      </c>
      <c r="F43" s="1">
        <f t="shared" si="28"/>
        <v>2.9</v>
      </c>
      <c r="G43" s="1">
        <f t="shared" si="29"/>
        <v>58</v>
      </c>
      <c r="J43" s="1">
        <v>2.5</v>
      </c>
      <c r="K43" s="1">
        <v>0</v>
      </c>
      <c r="L43" s="1">
        <v>0</v>
      </c>
      <c r="M43" s="1">
        <v>0.5</v>
      </c>
      <c r="N43" s="1">
        <f t="shared" si="30"/>
        <v>191.905860379902</v>
      </c>
      <c r="O43" s="1">
        <f t="shared" si="31"/>
        <v>0.4753373312440002</v>
      </c>
      <c r="P43" s="1">
        <f t="shared" si="32"/>
        <v>192.38912000000008</v>
      </c>
      <c r="Q43" s="3">
        <f t="shared" si="33"/>
        <v>3.153920000000001</v>
      </c>
      <c r="R43" s="5">
        <f t="shared" si="34"/>
        <v>201.99927443921248</v>
      </c>
      <c r="S43" s="4">
        <f t="shared" si="2"/>
        <v>0.08658008658008658</v>
      </c>
      <c r="T43" s="4">
        <f t="shared" si="3"/>
        <v>0.01278772378516624</v>
      </c>
      <c r="U43" s="4">
        <f t="shared" si="4"/>
        <v>0.23868312757201646</v>
      </c>
      <c r="V43" s="4">
        <f t="shared" si="5"/>
        <v>2.8942115768463075</v>
      </c>
      <c r="W43" s="4">
        <f t="shared" si="6"/>
        <v>0</v>
      </c>
      <c r="X43" s="4">
        <f t="shared" si="7"/>
        <v>0</v>
      </c>
      <c r="Y43" s="4">
        <f t="shared" si="8"/>
        <v>0.07042253521126761</v>
      </c>
      <c r="Z43" s="4">
        <f t="shared" si="9"/>
        <v>0</v>
      </c>
      <c r="AA43" s="4">
        <f t="shared" si="10"/>
        <v>0</v>
      </c>
      <c r="AB43" s="4">
        <f t="shared" si="11"/>
        <v>0.010416666666666666</v>
      </c>
      <c r="AC43" s="4">
        <f t="shared" si="12"/>
        <v>3.1459977111459345</v>
      </c>
      <c r="AD43" s="4">
        <f t="shared" si="13"/>
        <v>0.00792228885406667</v>
      </c>
      <c r="AE43" s="1">
        <f t="shared" si="14"/>
        <v>3.2322625147835766</v>
      </c>
      <c r="AF43" s="1">
        <f t="shared" si="15"/>
        <v>3.2347592018779356</v>
      </c>
      <c r="AG43" s="1">
        <f t="shared" si="16"/>
        <v>-0.002496687094359018</v>
      </c>
      <c r="AH43" s="5">
        <f t="shared" si="17"/>
        <v>-0.03860644364200294</v>
      </c>
      <c r="AI43" s="1">
        <f t="shared" si="18"/>
        <v>6.467021716661512</v>
      </c>
      <c r="AJ43" s="7">
        <f t="shared" si="19"/>
        <v>312.69067074763757</v>
      </c>
      <c r="AK43" s="7">
        <f t="shared" si="1"/>
        <v>3.132894704418324</v>
      </c>
      <c r="AL43" s="2">
        <f t="shared" si="20"/>
        <v>306.63691464013135</v>
      </c>
      <c r="AM43" s="16">
        <f t="shared" si="21"/>
        <v>0.4668348109444326</v>
      </c>
      <c r="AN43" s="16">
        <f t="shared" si="22"/>
        <v>104.19771200439719</v>
      </c>
      <c r="AO43" s="16">
        <f t="shared" si="23"/>
        <v>58.83099595486718</v>
      </c>
      <c r="AP43" s="16">
        <f t="shared" si="35"/>
        <v>45.36671604953001</v>
      </c>
      <c r="AQ43" s="16">
        <f t="shared" si="24"/>
        <v>1.9843887893192194</v>
      </c>
      <c r="AR43" s="16">
        <f t="shared" si="25"/>
        <v>1.0112747630925456</v>
      </c>
      <c r="AS43" s="16">
        <f t="shared" si="26"/>
        <v>190.1572229323014</v>
      </c>
      <c r="AT43" s="16">
        <f t="shared" si="27"/>
        <v>146.75040220020063</v>
      </c>
    </row>
    <row r="44" spans="1:46" ht="12.75">
      <c r="A44" s="10" t="s">
        <v>78</v>
      </c>
      <c r="C44" s="3">
        <v>7.7</v>
      </c>
      <c r="D44" s="1">
        <v>2</v>
      </c>
      <c r="E44" s="1">
        <v>0.5</v>
      </c>
      <c r="F44" s="1">
        <f t="shared" si="28"/>
        <v>3</v>
      </c>
      <c r="G44" s="1">
        <f aca="true" t="shared" si="36" ref="G44:G74">G43+2</f>
        <v>60</v>
      </c>
      <c r="J44" s="1">
        <v>2.5</v>
      </c>
      <c r="K44" s="1">
        <v>0</v>
      </c>
      <c r="L44" s="1">
        <v>0</v>
      </c>
      <c r="M44" s="1">
        <v>0.5</v>
      </c>
      <c r="N44" s="1">
        <f aca="true" t="shared" si="37" ref="N44:N74">Q44*61*(1-10^-10.3/10^-C44)</f>
        <v>198.48217981408544</v>
      </c>
      <c r="O44" s="1">
        <f aca="true" t="shared" si="38" ref="O44:O74">Q44*60*10^-10.3/10^-C44</f>
        <v>0.49162641237505345</v>
      </c>
      <c r="P44" s="1">
        <f t="shared" si="32"/>
        <v>198.98200000000008</v>
      </c>
      <c r="Q44" s="3">
        <f t="shared" si="33"/>
        <v>3.2620000000000013</v>
      </c>
      <c r="R44" s="5">
        <f aca="true" t="shared" si="39" ref="R44:R74">(10^(-C44))*N44/10^-6.4+N44+O44</f>
        <v>208.92147968899374</v>
      </c>
      <c r="S44" s="4">
        <f aca="true" t="shared" si="40" ref="S44:S74">D44/23.1</f>
        <v>0.08658008658008658</v>
      </c>
      <c r="T44" s="4">
        <f aca="true" t="shared" si="41" ref="T44:T74">E44/39.1</f>
        <v>0.01278772378516624</v>
      </c>
      <c r="U44" s="4">
        <f aca="true" t="shared" si="42" ref="U44:U74">F44/12.15</f>
        <v>0.24691358024691357</v>
      </c>
      <c r="V44" s="4">
        <f aca="true" t="shared" si="43" ref="V44:V74">G44/20.04</f>
        <v>2.9940119760479043</v>
      </c>
      <c r="W44" s="4">
        <f aca="true" t="shared" si="44" ref="W44:W74">H44/37.85</f>
        <v>0</v>
      </c>
      <c r="X44" s="4">
        <f aca="true" t="shared" si="45" ref="X44:X74">I44/19</f>
        <v>0</v>
      </c>
      <c r="Y44" s="4">
        <f aca="true" t="shared" si="46" ref="Y44:Y74">J44/35.5</f>
        <v>0.07042253521126761</v>
      </c>
      <c r="Z44" s="4">
        <f aca="true" t="shared" si="47" ref="Z44:Z74">K44/62</f>
        <v>0</v>
      </c>
      <c r="AA44" s="4">
        <f aca="true" t="shared" si="48" ref="AA44:AA74">L44/48</f>
        <v>0</v>
      </c>
      <c r="AB44" s="4">
        <f aca="true" t="shared" si="49" ref="AB44:AB74">M44/48</f>
        <v>0.010416666666666666</v>
      </c>
      <c r="AC44" s="4">
        <f aca="true" t="shared" si="50" ref="AC44:AC74">N44/61</f>
        <v>3.253806226460417</v>
      </c>
      <c r="AD44" s="4">
        <f aca="true" t="shared" si="51" ref="AD44:AD74">O44/60</f>
        <v>0.008193773539584224</v>
      </c>
      <c r="AE44" s="1">
        <f aca="true" t="shared" si="52" ref="AE44:AE74">SUM(S44:W44)</f>
        <v>3.3402933666600707</v>
      </c>
      <c r="AF44" s="1">
        <f aca="true" t="shared" si="53" ref="AF44:AF74">SUM(X44:AD44)</f>
        <v>3.342839201877936</v>
      </c>
      <c r="AG44" s="1">
        <f aca="true" t="shared" si="54" ref="AG44:AG74">AE44-AF44</f>
        <v>-0.002545835217865111</v>
      </c>
      <c r="AH44" s="5">
        <f aca="true" t="shared" si="55" ref="AH44:AH74">(AE44-AF44)/(AE44+AF44)*100</f>
        <v>-0.03809344183669298</v>
      </c>
      <c r="AI44" s="1">
        <f aca="true" t="shared" si="56" ref="AI44:AI74">AE44+AF44</f>
        <v>6.6831325685380065</v>
      </c>
      <c r="AJ44" s="7">
        <f aca="true" t="shared" si="57" ref="AJ44:AJ74">G44*2.6+F44*3.82+E44*1.84+D44*2.13+N44*0.72+O44*2.82+J44*2.14+K44*1.15+M44*1.54</f>
        <v>323.05355594903915</v>
      </c>
      <c r="AK44" s="7">
        <f t="shared" si="1"/>
        <v>3.240925556294818</v>
      </c>
      <c r="AL44" s="2">
        <f aca="true" t="shared" si="58" ref="AL44:AL74">AS44+AT44-(AN44*AQ44*AR44/115.2/(AQ44+AR44)*(2*AM44/(1+AM44^0.5))+0.668)*((AQ44+AR44)*AI44/2)^1.5</f>
        <v>316.2960772750817</v>
      </c>
      <c r="AM44" s="16">
        <f aca="true" t="shared" si="59" ref="AM44:AM74">AQ44*AR44*AN44/(AQ44+AR44)/(AQ44*AP44+AR44*AO44)</f>
        <v>0.46683066814641955</v>
      </c>
      <c r="AN44" s="16">
        <f aca="true" t="shared" si="60" ref="AN44:AN74">AO44+AP44</f>
        <v>104.1775708221121</v>
      </c>
      <c r="AO44" s="16">
        <f aca="true" t="shared" si="61" ref="AO44:AO74">AS44/(S44+T44+U44+V44)</f>
        <v>58.83686315802388</v>
      </c>
      <c r="AP44" s="16">
        <f aca="true" t="shared" si="62" ref="AP44:AP74">AT44/(Y44+Z44+AB44+AC42:AC44+AD44)</f>
        <v>45.340707664088214</v>
      </c>
      <c r="AQ44" s="16">
        <f aca="true" t="shared" si="63" ref="AQ44:AQ74">(S44+T44+U44*4+V44*4)/(S44+T44+U44*2+V44*2)</f>
        <v>1.984901306045501</v>
      </c>
      <c r="AR44" s="16">
        <f aca="true" t="shared" si="64" ref="AR44:AR74">(Y44+Z44+AB44*4+AC44+AD44*4)/(Y44+Z44+AB44*2+AC44+AD44*2)</f>
        <v>1.0110728656905965</v>
      </c>
      <c r="AS44" s="16">
        <f aca="true" t="shared" si="65" ref="AS44:AS74">S44*S$2+T44*T$2+U44*U$2+V44*V$2</f>
        <v>196.53238372183347</v>
      </c>
      <c r="AT44" s="16">
        <f aca="true" t="shared" si="66" ref="AT44:AT74">Y44*Y$2+Z44*Z$2+AB44*AB$2+AC44*AC$2+AD44*AD$2</f>
        <v>151.56669502040145</v>
      </c>
    </row>
    <row r="45" spans="1:50" ht="12.75">
      <c r="A45" s="10" t="s">
        <v>79</v>
      </c>
      <c r="C45" s="3">
        <v>7.7</v>
      </c>
      <c r="D45" s="1">
        <v>2</v>
      </c>
      <c r="E45" s="1">
        <v>0.5</v>
      </c>
      <c r="F45" s="1">
        <f t="shared" si="28"/>
        <v>3.1</v>
      </c>
      <c r="G45" s="1">
        <f t="shared" si="36"/>
        <v>62</v>
      </c>
      <c r="J45" s="1">
        <v>2.5</v>
      </c>
      <c r="K45" s="1">
        <v>0</v>
      </c>
      <c r="L45" s="1">
        <v>0</v>
      </c>
      <c r="M45" s="1">
        <v>0.5</v>
      </c>
      <c r="N45" s="1">
        <f t="shared" si="37"/>
        <v>205.05849924826887</v>
      </c>
      <c r="O45" s="1">
        <f t="shared" si="38"/>
        <v>0.5079154935061068</v>
      </c>
      <c r="P45" s="1">
        <f t="shared" si="32"/>
        <v>205.5748800000001</v>
      </c>
      <c r="Q45" s="3">
        <f t="shared" si="33"/>
        <v>3.3700800000000015</v>
      </c>
      <c r="R45" s="5">
        <f t="shared" si="39"/>
        <v>215.843684938775</v>
      </c>
      <c r="S45" s="4">
        <f t="shared" si="40"/>
        <v>0.08658008658008658</v>
      </c>
      <c r="T45" s="4">
        <f t="shared" si="41"/>
        <v>0.01278772378516624</v>
      </c>
      <c r="U45" s="4">
        <f t="shared" si="42"/>
        <v>0.2551440329218107</v>
      </c>
      <c r="V45" s="4">
        <f t="shared" si="43"/>
        <v>3.093812375249501</v>
      </c>
      <c r="W45" s="4">
        <f t="shared" si="44"/>
        <v>0</v>
      </c>
      <c r="X45" s="4">
        <f t="shared" si="45"/>
        <v>0</v>
      </c>
      <c r="Y45" s="4">
        <f t="shared" si="46"/>
        <v>0.07042253521126761</v>
      </c>
      <c r="Z45" s="4">
        <f t="shared" si="47"/>
        <v>0</v>
      </c>
      <c r="AA45" s="4">
        <f t="shared" si="48"/>
        <v>0</v>
      </c>
      <c r="AB45" s="4">
        <f t="shared" si="49"/>
        <v>0.010416666666666666</v>
      </c>
      <c r="AC45" s="4">
        <f t="shared" si="50"/>
        <v>3.3616147417748996</v>
      </c>
      <c r="AD45" s="4">
        <f t="shared" si="51"/>
        <v>0.008465258225101779</v>
      </c>
      <c r="AE45" s="1">
        <f t="shared" si="52"/>
        <v>3.4483242185365643</v>
      </c>
      <c r="AF45" s="1">
        <f t="shared" si="53"/>
        <v>3.450919201877936</v>
      </c>
      <c r="AG45" s="1">
        <f t="shared" si="54"/>
        <v>-0.0025949833413716483</v>
      </c>
      <c r="AH45" s="5">
        <f t="shared" si="55"/>
        <v>-0.03761257841248547</v>
      </c>
      <c r="AI45" s="1">
        <f t="shared" si="56"/>
        <v>6.8992434204145</v>
      </c>
      <c r="AJ45" s="7">
        <f t="shared" si="57"/>
        <v>333.4164411504408</v>
      </c>
      <c r="AK45" s="7">
        <f t="shared" si="1"/>
        <v>3.3489564081713117</v>
      </c>
      <c r="AL45" s="2">
        <f t="shared" si="58"/>
        <v>325.9302334424853</v>
      </c>
      <c r="AM45" s="16">
        <f t="shared" si="59"/>
        <v>0.4668268582111836</v>
      </c>
      <c r="AN45" s="16">
        <f t="shared" si="60"/>
        <v>104.15869114160687</v>
      </c>
      <c r="AO45" s="16">
        <f t="shared" si="61"/>
        <v>58.842362739741894</v>
      </c>
      <c r="AP45" s="16">
        <f t="shared" si="62"/>
        <v>45.31632840186497</v>
      </c>
      <c r="AQ45" s="16">
        <f t="shared" si="63"/>
        <v>1.9853812405545217</v>
      </c>
      <c r="AR45" s="16">
        <f t="shared" si="64"/>
        <v>1.010883577589559</v>
      </c>
      <c r="AS45" s="16">
        <f t="shared" si="65"/>
        <v>202.90754451136553</v>
      </c>
      <c r="AT45" s="16">
        <f t="shared" si="66"/>
        <v>156.3829878406023</v>
      </c>
      <c r="AV45" t="s">
        <v>337</v>
      </c>
      <c r="AW45" t="s">
        <v>336</v>
      </c>
      <c r="AX45" t="s">
        <v>22</v>
      </c>
    </row>
    <row r="46" spans="1:50" ht="12.75">
      <c r="A46" s="10" t="s">
        <v>80</v>
      </c>
      <c r="C46" s="3">
        <v>7.7</v>
      </c>
      <c r="D46" s="1">
        <v>2</v>
      </c>
      <c r="E46" s="1">
        <v>0.5</v>
      </c>
      <c r="F46" s="1">
        <f t="shared" si="28"/>
        <v>3.2</v>
      </c>
      <c r="G46" s="1">
        <f t="shared" si="36"/>
        <v>64</v>
      </c>
      <c r="J46" s="1">
        <v>2.5</v>
      </c>
      <c r="K46" s="1">
        <v>0</v>
      </c>
      <c r="L46" s="1">
        <v>0</v>
      </c>
      <c r="M46" s="1">
        <v>0.5</v>
      </c>
      <c r="N46" s="1">
        <f t="shared" si="37"/>
        <v>211.63481868245233</v>
      </c>
      <c r="O46" s="1">
        <f t="shared" si="38"/>
        <v>0.52420457463716</v>
      </c>
      <c r="P46" s="1">
        <f t="shared" si="32"/>
        <v>212.1677600000001</v>
      </c>
      <c r="Q46" s="3">
        <f t="shared" si="33"/>
        <v>3.4781600000000017</v>
      </c>
      <c r="R46" s="5">
        <f t="shared" si="39"/>
        <v>222.76589018855628</v>
      </c>
      <c r="S46" s="4">
        <f t="shared" si="40"/>
        <v>0.08658008658008658</v>
      </c>
      <c r="T46" s="4">
        <f t="shared" si="41"/>
        <v>0.01278772378516624</v>
      </c>
      <c r="U46" s="4">
        <f t="shared" si="42"/>
        <v>0.26337448559670784</v>
      </c>
      <c r="V46" s="4">
        <f t="shared" si="43"/>
        <v>3.193612774451098</v>
      </c>
      <c r="W46" s="4">
        <f t="shared" si="44"/>
        <v>0</v>
      </c>
      <c r="X46" s="4">
        <f t="shared" si="45"/>
        <v>0</v>
      </c>
      <c r="Y46" s="4">
        <f t="shared" si="46"/>
        <v>0.07042253521126761</v>
      </c>
      <c r="Z46" s="4">
        <f t="shared" si="47"/>
        <v>0</v>
      </c>
      <c r="AA46" s="4">
        <f t="shared" si="48"/>
        <v>0</v>
      </c>
      <c r="AB46" s="4">
        <f t="shared" si="49"/>
        <v>0.010416666666666666</v>
      </c>
      <c r="AC46" s="4">
        <f t="shared" si="50"/>
        <v>3.4694232570893826</v>
      </c>
      <c r="AD46" s="4">
        <f t="shared" si="51"/>
        <v>0.008736742910619332</v>
      </c>
      <c r="AE46" s="1">
        <f t="shared" si="52"/>
        <v>3.5563550704130584</v>
      </c>
      <c r="AF46" s="1">
        <f t="shared" si="53"/>
        <v>3.5589992018779366</v>
      </c>
      <c r="AG46" s="1">
        <f t="shared" si="54"/>
        <v>-0.0026441314648781855</v>
      </c>
      <c r="AH46" s="5">
        <f t="shared" si="55"/>
        <v>-0.03716092500376415</v>
      </c>
      <c r="AI46" s="1">
        <f t="shared" si="56"/>
        <v>7.115354272290995</v>
      </c>
      <c r="AJ46" s="7">
        <f t="shared" si="57"/>
        <v>343.7793263518424</v>
      </c>
      <c r="AK46" s="7">
        <f t="shared" si="1"/>
        <v>3.4569872600478058</v>
      </c>
      <c r="AL46" s="2">
        <f t="shared" si="58"/>
        <v>335.5397782653803</v>
      </c>
      <c r="AM46" s="16">
        <f t="shared" si="59"/>
        <v>0.4668233443383953</v>
      </c>
      <c r="AN46" s="16">
        <f t="shared" si="60"/>
        <v>104.14095804435098</v>
      </c>
      <c r="AO46" s="16">
        <f t="shared" si="61"/>
        <v>58.84752820156119</v>
      </c>
      <c r="AP46" s="16">
        <f t="shared" si="62"/>
        <v>45.2934298427898</v>
      </c>
      <c r="AQ46" s="16">
        <f t="shared" si="63"/>
        <v>1.9858316041506103</v>
      </c>
      <c r="AR46" s="16">
        <f t="shared" si="64"/>
        <v>1.0107057533074288</v>
      </c>
      <c r="AS46" s="16">
        <f t="shared" si="65"/>
        <v>209.2827053008976</v>
      </c>
      <c r="AT46" s="16">
        <f t="shared" si="66"/>
        <v>161.1992806608032</v>
      </c>
      <c r="AV46" s="1">
        <f>AW46/2</f>
        <v>0.44687410250000004</v>
      </c>
      <c r="AW46" s="1">
        <f>0.000001393*AX46^2+0.01029527*AX46-0.149708795</f>
        <v>0.8937482050000001</v>
      </c>
      <c r="AX46">
        <v>100</v>
      </c>
    </row>
    <row r="47" spans="1:50" ht="12.75">
      <c r="A47" s="10" t="s">
        <v>81</v>
      </c>
      <c r="C47" s="3">
        <v>7.7</v>
      </c>
      <c r="D47" s="1">
        <v>2</v>
      </c>
      <c r="E47" s="1">
        <v>0.5</v>
      </c>
      <c r="F47" s="1">
        <f t="shared" si="28"/>
        <v>3.3</v>
      </c>
      <c r="G47" s="1">
        <f t="shared" si="36"/>
        <v>66</v>
      </c>
      <c r="J47" s="1">
        <v>2.5</v>
      </c>
      <c r="K47" s="1">
        <v>0</v>
      </c>
      <c r="L47" s="1">
        <v>0</v>
      </c>
      <c r="M47" s="1">
        <v>0.5</v>
      </c>
      <c r="N47" s="1">
        <f t="shared" si="37"/>
        <v>218.21113811663577</v>
      </c>
      <c r="O47" s="1">
        <f t="shared" si="38"/>
        <v>0.5404936557682134</v>
      </c>
      <c r="P47" s="1">
        <f t="shared" si="32"/>
        <v>218.7606400000001</v>
      </c>
      <c r="Q47" s="3">
        <f t="shared" si="33"/>
        <v>3.586240000000002</v>
      </c>
      <c r="R47" s="5">
        <f t="shared" si="39"/>
        <v>229.68809543833754</v>
      </c>
      <c r="S47" s="4">
        <f t="shared" si="40"/>
        <v>0.08658008658008658</v>
      </c>
      <c r="T47" s="4">
        <f t="shared" si="41"/>
        <v>0.01278772378516624</v>
      </c>
      <c r="U47" s="4">
        <f t="shared" si="42"/>
        <v>0.2716049382716049</v>
      </c>
      <c r="V47" s="4">
        <f t="shared" si="43"/>
        <v>3.2934131736526946</v>
      </c>
      <c r="W47" s="4">
        <f t="shared" si="44"/>
        <v>0</v>
      </c>
      <c r="X47" s="4">
        <f t="shared" si="45"/>
        <v>0</v>
      </c>
      <c r="Y47" s="4">
        <f t="shared" si="46"/>
        <v>0.07042253521126761</v>
      </c>
      <c r="Z47" s="4">
        <f t="shared" si="47"/>
        <v>0</v>
      </c>
      <c r="AA47" s="4">
        <f t="shared" si="48"/>
        <v>0</v>
      </c>
      <c r="AB47" s="4">
        <f t="shared" si="49"/>
        <v>0.010416666666666666</v>
      </c>
      <c r="AC47" s="4">
        <f t="shared" si="50"/>
        <v>3.577231772403865</v>
      </c>
      <c r="AD47" s="4">
        <f t="shared" si="51"/>
        <v>0.00900822759613689</v>
      </c>
      <c r="AE47" s="1">
        <f t="shared" si="52"/>
        <v>3.6643859222895525</v>
      </c>
      <c r="AF47" s="1">
        <f t="shared" si="53"/>
        <v>3.6670792018779363</v>
      </c>
      <c r="AG47" s="1">
        <f t="shared" si="54"/>
        <v>-0.0026932795883838345</v>
      </c>
      <c r="AH47" s="5">
        <f t="shared" si="55"/>
        <v>-0.03673589852464401</v>
      </c>
      <c r="AI47" s="1">
        <f t="shared" si="56"/>
        <v>7.331465124167488</v>
      </c>
      <c r="AJ47" s="7">
        <f t="shared" si="57"/>
        <v>354.14221155324407</v>
      </c>
      <c r="AK47" s="7">
        <f t="shared" si="1"/>
        <v>3.5650181119242994</v>
      </c>
      <c r="AL47" s="2">
        <f t="shared" si="58"/>
        <v>345.12508871457095</v>
      </c>
      <c r="AM47" s="16">
        <f t="shared" si="59"/>
        <v>0.4668200948065292</v>
      </c>
      <c r="AN47" s="16">
        <f t="shared" si="60"/>
        <v>104.12427015870567</v>
      </c>
      <c r="AO47" s="16">
        <f t="shared" si="61"/>
        <v>58.85238909434625</v>
      </c>
      <c r="AP47" s="16">
        <f t="shared" si="62"/>
        <v>45.27188106435942</v>
      </c>
      <c r="AQ47" s="16">
        <f t="shared" si="63"/>
        <v>1.9862550481485077</v>
      </c>
      <c r="AR47" s="16">
        <f t="shared" si="64"/>
        <v>1.010538382031442</v>
      </c>
      <c r="AS47" s="16">
        <f t="shared" si="65"/>
        <v>215.6578660904296</v>
      </c>
      <c r="AT47" s="16">
        <f t="shared" si="66"/>
        <v>166.015573481004</v>
      </c>
      <c r="AV47" s="1">
        <f aca="true" t="shared" si="67" ref="AV47:AV55">AW47/2</f>
        <v>0.9825326025000001</v>
      </c>
      <c r="AW47" s="1">
        <f aca="true" t="shared" si="68" ref="AW47:AW55">0.000001393*AX47^2+0.01029527*AX47-0.149708795</f>
        <v>1.9650652050000001</v>
      </c>
      <c r="AX47">
        <v>200</v>
      </c>
    </row>
    <row r="48" spans="1:50" ht="12.75">
      <c r="A48" s="10" t="s">
        <v>82</v>
      </c>
      <c r="C48" s="3">
        <v>7.7</v>
      </c>
      <c r="D48" s="1">
        <v>2</v>
      </c>
      <c r="E48" s="1">
        <v>0.5</v>
      </c>
      <c r="F48" s="1">
        <f t="shared" si="28"/>
        <v>3.4</v>
      </c>
      <c r="G48" s="1">
        <f t="shared" si="36"/>
        <v>68</v>
      </c>
      <c r="J48" s="1">
        <v>2.5</v>
      </c>
      <c r="K48" s="1">
        <v>0</v>
      </c>
      <c r="L48" s="1">
        <v>0</v>
      </c>
      <c r="M48" s="1">
        <v>0.5</v>
      </c>
      <c r="N48" s="1">
        <f t="shared" si="37"/>
        <v>224.7874575508192</v>
      </c>
      <c r="O48" s="1">
        <f t="shared" si="38"/>
        <v>0.5567827368992666</v>
      </c>
      <c r="P48" s="1">
        <f t="shared" si="32"/>
        <v>225.35352000000012</v>
      </c>
      <c r="Q48" s="3">
        <f t="shared" si="33"/>
        <v>3.694320000000002</v>
      </c>
      <c r="R48" s="5">
        <f t="shared" si="39"/>
        <v>236.61030068811877</v>
      </c>
      <c r="S48" s="4">
        <f t="shared" si="40"/>
        <v>0.08658008658008658</v>
      </c>
      <c r="T48" s="4">
        <f t="shared" si="41"/>
        <v>0.01278772378516624</v>
      </c>
      <c r="U48" s="4">
        <f t="shared" si="42"/>
        <v>0.27983539094650206</v>
      </c>
      <c r="V48" s="4">
        <f t="shared" si="43"/>
        <v>3.3932135728542914</v>
      </c>
      <c r="W48" s="4">
        <f t="shared" si="44"/>
        <v>0</v>
      </c>
      <c r="X48" s="4">
        <f t="shared" si="45"/>
        <v>0</v>
      </c>
      <c r="Y48" s="4">
        <f t="shared" si="46"/>
        <v>0.07042253521126761</v>
      </c>
      <c r="Z48" s="4">
        <f t="shared" si="47"/>
        <v>0</v>
      </c>
      <c r="AA48" s="4">
        <f t="shared" si="48"/>
        <v>0</v>
      </c>
      <c r="AB48" s="4">
        <f t="shared" si="49"/>
        <v>0.010416666666666666</v>
      </c>
      <c r="AC48" s="4">
        <f t="shared" si="50"/>
        <v>3.6850402877183477</v>
      </c>
      <c r="AD48" s="4">
        <f t="shared" si="51"/>
        <v>0.009279712281654444</v>
      </c>
      <c r="AE48" s="1">
        <f t="shared" si="52"/>
        <v>3.772416774166046</v>
      </c>
      <c r="AF48" s="1">
        <f t="shared" si="53"/>
        <v>3.7751592018779365</v>
      </c>
      <c r="AG48" s="1">
        <f t="shared" si="54"/>
        <v>-0.0027424277118903717</v>
      </c>
      <c r="AH48" s="5">
        <f t="shared" si="55"/>
        <v>-0.03633521173678597</v>
      </c>
      <c r="AI48" s="1">
        <f t="shared" si="56"/>
        <v>7.547575976043983</v>
      </c>
      <c r="AJ48" s="7">
        <f t="shared" si="57"/>
        <v>364.50509675464576</v>
      </c>
      <c r="AK48" s="7">
        <f t="shared" si="1"/>
        <v>3.6730489638007935</v>
      </c>
      <c r="AL48" s="2">
        <f t="shared" si="58"/>
        <v>354.68652495689355</v>
      </c>
      <c r="AM48" s="16">
        <f t="shared" si="59"/>
        <v>0.46681708214296874</v>
      </c>
      <c r="AN48" s="16">
        <f t="shared" si="60"/>
        <v>104.10853772089058</v>
      </c>
      <c r="AO48" s="16">
        <f t="shared" si="61"/>
        <v>58.85697158396441</v>
      </c>
      <c r="AP48" s="16">
        <f t="shared" si="62"/>
        <v>45.25156613692617</v>
      </c>
      <c r="AQ48" s="16">
        <f t="shared" si="63"/>
        <v>1.9866539161064776</v>
      </c>
      <c r="AR48" s="16">
        <f t="shared" si="64"/>
        <v>1.0103805683925569</v>
      </c>
      <c r="AS48" s="16">
        <f t="shared" si="65"/>
        <v>222.03302687996165</v>
      </c>
      <c r="AT48" s="16">
        <f t="shared" si="66"/>
        <v>170.83186630120485</v>
      </c>
      <c r="AV48" s="1">
        <f t="shared" si="67"/>
        <v>1.5321211025</v>
      </c>
      <c r="AW48" s="1">
        <f t="shared" si="68"/>
        <v>3.064242205</v>
      </c>
      <c r="AX48">
        <v>300</v>
      </c>
    </row>
    <row r="49" spans="1:50" ht="12.75">
      <c r="A49" s="10" t="s">
        <v>83</v>
      </c>
      <c r="C49" s="3">
        <v>7.7</v>
      </c>
      <c r="D49" s="1">
        <v>2</v>
      </c>
      <c r="E49" s="1">
        <v>0.5</v>
      </c>
      <c r="F49" s="1">
        <f t="shared" si="28"/>
        <v>3.5</v>
      </c>
      <c r="G49" s="1">
        <f t="shared" si="36"/>
        <v>70</v>
      </c>
      <c r="J49" s="1">
        <v>2.5</v>
      </c>
      <c r="K49" s="1">
        <v>0</v>
      </c>
      <c r="L49" s="1">
        <v>0</v>
      </c>
      <c r="M49" s="1">
        <v>0.5</v>
      </c>
      <c r="N49" s="1">
        <f t="shared" si="37"/>
        <v>231.36377698500263</v>
      </c>
      <c r="O49" s="1">
        <f t="shared" si="38"/>
        <v>0.5730718180303199</v>
      </c>
      <c r="P49" s="1">
        <f t="shared" si="32"/>
        <v>231.94640000000012</v>
      </c>
      <c r="Q49" s="3">
        <f t="shared" si="33"/>
        <v>3.8024000000000022</v>
      </c>
      <c r="R49" s="5">
        <f t="shared" si="39"/>
        <v>243.53250593790003</v>
      </c>
      <c r="S49" s="4">
        <f t="shared" si="40"/>
        <v>0.08658008658008658</v>
      </c>
      <c r="T49" s="4">
        <f t="shared" si="41"/>
        <v>0.01278772378516624</v>
      </c>
      <c r="U49" s="4">
        <f t="shared" si="42"/>
        <v>0.28806584362139914</v>
      </c>
      <c r="V49" s="4">
        <f t="shared" si="43"/>
        <v>3.4930139720558886</v>
      </c>
      <c r="W49" s="4">
        <f t="shared" si="44"/>
        <v>0</v>
      </c>
      <c r="X49" s="4">
        <f t="shared" si="45"/>
        <v>0</v>
      </c>
      <c r="Y49" s="4">
        <f t="shared" si="46"/>
        <v>0.07042253521126761</v>
      </c>
      <c r="Z49" s="4">
        <f t="shared" si="47"/>
        <v>0</v>
      </c>
      <c r="AA49" s="4">
        <f t="shared" si="48"/>
        <v>0</v>
      </c>
      <c r="AB49" s="4">
        <f t="shared" si="49"/>
        <v>0.010416666666666666</v>
      </c>
      <c r="AC49" s="4">
        <f t="shared" si="50"/>
        <v>3.79284880303283</v>
      </c>
      <c r="AD49" s="4">
        <f t="shared" si="51"/>
        <v>0.009551196967171998</v>
      </c>
      <c r="AE49" s="1">
        <f t="shared" si="52"/>
        <v>3.8804476260425407</v>
      </c>
      <c r="AF49" s="1">
        <f t="shared" si="53"/>
        <v>3.8832392018779363</v>
      </c>
      <c r="AG49" s="1">
        <f t="shared" si="54"/>
        <v>-0.0027915758353955766</v>
      </c>
      <c r="AH49" s="5">
        <f t="shared" si="55"/>
        <v>-0.035956832073084886</v>
      </c>
      <c r="AI49" s="1">
        <f t="shared" si="56"/>
        <v>7.763686827920477</v>
      </c>
      <c r="AJ49" s="7">
        <f t="shared" si="57"/>
        <v>374.86798195604734</v>
      </c>
      <c r="AK49" s="7">
        <f t="shared" si="1"/>
        <v>3.7810798156772876</v>
      </c>
      <c r="AL49" s="2">
        <f t="shared" si="58"/>
        <v>364.2244315673594</v>
      </c>
      <c r="AM49" s="16">
        <f t="shared" si="59"/>
        <v>0.4668142824493945</v>
      </c>
      <c r="AN49" s="16">
        <f t="shared" si="60"/>
        <v>104.09368095973333</v>
      </c>
      <c r="AO49" s="16">
        <f t="shared" si="61"/>
        <v>58.86129892247378</v>
      </c>
      <c r="AP49" s="16">
        <f t="shared" si="62"/>
        <v>45.232382037259555</v>
      </c>
      <c r="AQ49" s="16">
        <f t="shared" si="63"/>
        <v>1.9870302872212975</v>
      </c>
      <c r="AR49" s="16">
        <f t="shared" si="64"/>
        <v>1.010231516442093</v>
      </c>
      <c r="AS49" s="16">
        <f t="shared" si="65"/>
        <v>228.40818766949374</v>
      </c>
      <c r="AT49" s="16">
        <f t="shared" si="66"/>
        <v>175.64815912140568</v>
      </c>
      <c r="AV49" s="1">
        <f t="shared" si="67"/>
        <v>2.0956396025000004</v>
      </c>
      <c r="AW49" s="1">
        <f t="shared" si="68"/>
        <v>4.191279205000001</v>
      </c>
      <c r="AX49">
        <v>400</v>
      </c>
    </row>
    <row r="50" spans="1:50" ht="12.75">
      <c r="A50" s="10" t="s">
        <v>84</v>
      </c>
      <c r="C50" s="3">
        <v>7.7</v>
      </c>
      <c r="D50" s="1">
        <v>2</v>
      </c>
      <c r="E50" s="1">
        <v>0.5</v>
      </c>
      <c r="F50" s="1">
        <f t="shared" si="28"/>
        <v>3.6</v>
      </c>
      <c r="G50" s="1">
        <f t="shared" si="36"/>
        <v>72</v>
      </c>
      <c r="J50" s="1">
        <v>2.5</v>
      </c>
      <c r="K50" s="1">
        <v>0</v>
      </c>
      <c r="L50" s="1">
        <v>0</v>
      </c>
      <c r="M50" s="1">
        <v>0.5</v>
      </c>
      <c r="N50" s="1">
        <f t="shared" si="37"/>
        <v>237.94009641918606</v>
      </c>
      <c r="O50" s="1">
        <f t="shared" si="38"/>
        <v>0.5893608991613732</v>
      </c>
      <c r="P50" s="1">
        <f t="shared" si="32"/>
        <v>238.53928000000013</v>
      </c>
      <c r="Q50" s="3">
        <f t="shared" si="33"/>
        <v>3.9104800000000024</v>
      </c>
      <c r="R50" s="5">
        <f t="shared" si="39"/>
        <v>250.45471118768128</v>
      </c>
      <c r="S50" s="4">
        <f t="shared" si="40"/>
        <v>0.08658008658008658</v>
      </c>
      <c r="T50" s="4">
        <f t="shared" si="41"/>
        <v>0.01278772378516624</v>
      </c>
      <c r="U50" s="4">
        <f t="shared" si="42"/>
        <v>0.2962962962962963</v>
      </c>
      <c r="V50" s="4">
        <f t="shared" si="43"/>
        <v>3.5928143712574854</v>
      </c>
      <c r="W50" s="4">
        <f t="shared" si="44"/>
        <v>0</v>
      </c>
      <c r="X50" s="4">
        <f t="shared" si="45"/>
        <v>0</v>
      </c>
      <c r="Y50" s="4">
        <f t="shared" si="46"/>
        <v>0.07042253521126761</v>
      </c>
      <c r="Z50" s="4">
        <f t="shared" si="47"/>
        <v>0</v>
      </c>
      <c r="AA50" s="4">
        <f t="shared" si="48"/>
        <v>0</v>
      </c>
      <c r="AB50" s="4">
        <f t="shared" si="49"/>
        <v>0.010416666666666666</v>
      </c>
      <c r="AC50" s="4">
        <f t="shared" si="50"/>
        <v>3.9006573183473123</v>
      </c>
      <c r="AD50" s="4">
        <f t="shared" si="51"/>
        <v>0.009822681652689553</v>
      </c>
      <c r="AE50" s="1">
        <f t="shared" si="52"/>
        <v>3.9884784779190343</v>
      </c>
      <c r="AF50" s="1">
        <f t="shared" si="53"/>
        <v>3.9913192018779364</v>
      </c>
      <c r="AG50" s="1">
        <f t="shared" si="54"/>
        <v>-0.002840723958902114</v>
      </c>
      <c r="AH50" s="5">
        <f t="shared" si="55"/>
        <v>-0.03559894715243445</v>
      </c>
      <c r="AI50" s="1">
        <f t="shared" si="56"/>
        <v>7.97979767979697</v>
      </c>
      <c r="AJ50" s="7">
        <f t="shared" si="57"/>
        <v>385.230867157449</v>
      </c>
      <c r="AK50" s="7">
        <f t="shared" si="1"/>
        <v>3.8891106675537817</v>
      </c>
      <c r="AL50" s="2">
        <f t="shared" si="58"/>
        <v>373.7391386223471</v>
      </c>
      <c r="AM50" s="16">
        <f t="shared" si="59"/>
        <v>0.46681167484994424</v>
      </c>
      <c r="AN50" s="16">
        <f t="shared" si="60"/>
        <v>104.07962874383367</v>
      </c>
      <c r="AO50" s="16">
        <f t="shared" si="61"/>
        <v>58.86539184273664</v>
      </c>
      <c r="AP50" s="16">
        <f t="shared" si="62"/>
        <v>45.214236901097024</v>
      </c>
      <c r="AQ50" s="16">
        <f t="shared" si="63"/>
        <v>1.987386012581989</v>
      </c>
      <c r="AR50" s="16">
        <f t="shared" si="64"/>
        <v>1.0100905162251022</v>
      </c>
      <c r="AS50" s="16">
        <f t="shared" si="65"/>
        <v>234.78334845902577</v>
      </c>
      <c r="AT50" s="16">
        <f t="shared" si="66"/>
        <v>180.4644519416065</v>
      </c>
      <c r="AV50" s="1">
        <f t="shared" si="67"/>
        <v>2.6730881025000004</v>
      </c>
      <c r="AW50" s="1">
        <f t="shared" si="68"/>
        <v>5.346176205000001</v>
      </c>
      <c r="AX50">
        <v>500</v>
      </c>
    </row>
    <row r="51" spans="1:50" ht="12.75">
      <c r="A51" s="10" t="s">
        <v>85</v>
      </c>
      <c r="C51" s="3">
        <v>7.7</v>
      </c>
      <c r="D51" s="1">
        <v>2</v>
      </c>
      <c r="E51" s="1">
        <v>0.5</v>
      </c>
      <c r="F51" s="1">
        <f t="shared" si="28"/>
        <v>3.7</v>
      </c>
      <c r="G51" s="1">
        <f t="shared" si="36"/>
        <v>74</v>
      </c>
      <c r="J51" s="1">
        <v>2.5</v>
      </c>
      <c r="K51" s="1">
        <v>0</v>
      </c>
      <c r="L51" s="1">
        <v>0</v>
      </c>
      <c r="M51" s="1">
        <v>0.5</v>
      </c>
      <c r="N51" s="1">
        <f t="shared" si="37"/>
        <v>244.51641585336952</v>
      </c>
      <c r="O51" s="1">
        <f t="shared" si="38"/>
        <v>0.6056499802924266</v>
      </c>
      <c r="P51" s="1">
        <f t="shared" si="32"/>
        <v>245.13216000000017</v>
      </c>
      <c r="Q51" s="3">
        <f t="shared" si="33"/>
        <v>4.018560000000003</v>
      </c>
      <c r="R51" s="5">
        <f t="shared" si="39"/>
        <v>257.37691643746257</v>
      </c>
      <c r="S51" s="4">
        <f t="shared" si="40"/>
        <v>0.08658008658008658</v>
      </c>
      <c r="T51" s="4">
        <f t="shared" si="41"/>
        <v>0.01278772378516624</v>
      </c>
      <c r="U51" s="4">
        <f t="shared" si="42"/>
        <v>0.3045267489711934</v>
      </c>
      <c r="V51" s="4">
        <f t="shared" si="43"/>
        <v>3.692614770459082</v>
      </c>
      <c r="W51" s="4">
        <f t="shared" si="44"/>
        <v>0</v>
      </c>
      <c r="X51" s="4">
        <f t="shared" si="45"/>
        <v>0</v>
      </c>
      <c r="Y51" s="4">
        <f t="shared" si="46"/>
        <v>0.07042253521126761</v>
      </c>
      <c r="Z51" s="4">
        <f t="shared" si="47"/>
        <v>0</v>
      </c>
      <c r="AA51" s="4">
        <f t="shared" si="48"/>
        <v>0</v>
      </c>
      <c r="AB51" s="4">
        <f t="shared" si="49"/>
        <v>0.010416666666666666</v>
      </c>
      <c r="AC51" s="4">
        <f t="shared" si="50"/>
        <v>4.008465833661796</v>
      </c>
      <c r="AD51" s="4">
        <f t="shared" si="51"/>
        <v>0.01009416633820711</v>
      </c>
      <c r="AE51" s="1">
        <f t="shared" si="52"/>
        <v>4.096509329795529</v>
      </c>
      <c r="AF51" s="1">
        <f t="shared" si="53"/>
        <v>4.099399201877937</v>
      </c>
      <c r="AG51" s="1">
        <f t="shared" si="54"/>
        <v>-0.002889872082407763</v>
      </c>
      <c r="AH51" s="5">
        <f t="shared" si="55"/>
        <v>-0.035259935750133364</v>
      </c>
      <c r="AI51" s="1">
        <f t="shared" si="56"/>
        <v>8.195908531673465</v>
      </c>
      <c r="AJ51" s="7">
        <f t="shared" si="57"/>
        <v>395.5937523588507</v>
      </c>
      <c r="AK51" s="7">
        <f t="shared" si="1"/>
        <v>3.9971415194302757</v>
      </c>
      <c r="AL51" s="2">
        <f t="shared" si="58"/>
        <v>383.2309626884378</v>
      </c>
      <c r="AM51" s="16">
        <f t="shared" si="59"/>
        <v>0.466809241037121</v>
      </c>
      <c r="AN51" s="16">
        <f t="shared" si="60"/>
        <v>104.06631744271549</v>
      </c>
      <c r="AO51" s="16">
        <f t="shared" si="61"/>
        <v>58.86926889059346</v>
      </c>
      <c r="AP51" s="16">
        <f t="shared" si="62"/>
        <v>45.19704855212203</v>
      </c>
      <c r="AQ51" s="16">
        <f t="shared" si="63"/>
        <v>1.9877227456167375</v>
      </c>
      <c r="AR51" s="16">
        <f t="shared" si="64"/>
        <v>1.0099569324724134</v>
      </c>
      <c r="AS51" s="16">
        <f t="shared" si="65"/>
        <v>241.1585092485578</v>
      </c>
      <c r="AT51" s="16">
        <f t="shared" si="66"/>
        <v>185.2807447618074</v>
      </c>
      <c r="AV51" s="1">
        <f t="shared" si="67"/>
        <v>3.2644666024999998</v>
      </c>
      <c r="AW51" s="1">
        <f t="shared" si="68"/>
        <v>6.5289332049999995</v>
      </c>
      <c r="AX51">
        <v>600</v>
      </c>
    </row>
    <row r="52" spans="1:50" ht="12.75">
      <c r="A52" s="10" t="s">
        <v>86</v>
      </c>
      <c r="C52" s="3">
        <v>7.7</v>
      </c>
      <c r="D52" s="1">
        <v>2</v>
      </c>
      <c r="E52" s="1">
        <v>0.5</v>
      </c>
      <c r="F52" s="1">
        <f t="shared" si="28"/>
        <v>3.8</v>
      </c>
      <c r="G52" s="1">
        <f t="shared" si="36"/>
        <v>76</v>
      </c>
      <c r="J52" s="1">
        <v>2.5</v>
      </c>
      <c r="K52" s="1">
        <v>0</v>
      </c>
      <c r="L52" s="1">
        <v>0</v>
      </c>
      <c r="M52" s="1">
        <v>0.5</v>
      </c>
      <c r="N52" s="1">
        <f t="shared" si="37"/>
        <v>251.09273528755298</v>
      </c>
      <c r="O52" s="1">
        <f t="shared" si="38"/>
        <v>0.6219390614234799</v>
      </c>
      <c r="P52" s="1">
        <f t="shared" si="32"/>
        <v>251.72504000000018</v>
      </c>
      <c r="Q52" s="3">
        <f t="shared" si="33"/>
        <v>4.126640000000003</v>
      </c>
      <c r="R52" s="5">
        <f t="shared" si="39"/>
        <v>264.2991216872438</v>
      </c>
      <c r="S52" s="4">
        <f t="shared" si="40"/>
        <v>0.08658008658008658</v>
      </c>
      <c r="T52" s="4">
        <f t="shared" si="41"/>
        <v>0.01278772378516624</v>
      </c>
      <c r="U52" s="4">
        <f t="shared" si="42"/>
        <v>0.3127572016460905</v>
      </c>
      <c r="V52" s="4">
        <f t="shared" si="43"/>
        <v>3.792415169660679</v>
      </c>
      <c r="W52" s="4">
        <f t="shared" si="44"/>
        <v>0</v>
      </c>
      <c r="X52" s="4">
        <f t="shared" si="45"/>
        <v>0</v>
      </c>
      <c r="Y52" s="4">
        <f t="shared" si="46"/>
        <v>0.07042253521126761</v>
      </c>
      <c r="Z52" s="4">
        <f t="shared" si="47"/>
        <v>0</v>
      </c>
      <c r="AA52" s="4">
        <f t="shared" si="48"/>
        <v>0</v>
      </c>
      <c r="AB52" s="4">
        <f t="shared" si="49"/>
        <v>0.010416666666666666</v>
      </c>
      <c r="AC52" s="4">
        <f t="shared" si="50"/>
        <v>4.116274348976279</v>
      </c>
      <c r="AD52" s="4">
        <f t="shared" si="51"/>
        <v>0.010365651023724665</v>
      </c>
      <c r="AE52" s="1">
        <f t="shared" si="52"/>
        <v>4.204540181672022</v>
      </c>
      <c r="AF52" s="1">
        <f t="shared" si="53"/>
        <v>4.207479201877938</v>
      </c>
      <c r="AG52" s="1">
        <f t="shared" si="54"/>
        <v>-0.0029390202059156323</v>
      </c>
      <c r="AH52" s="5">
        <f t="shared" si="55"/>
        <v>-0.034938343243276444</v>
      </c>
      <c r="AI52" s="1">
        <f t="shared" si="56"/>
        <v>8.41201938354996</v>
      </c>
      <c r="AJ52" s="7">
        <f t="shared" si="57"/>
        <v>405.9566375602523</v>
      </c>
      <c r="AK52" s="7">
        <f t="shared" si="1"/>
        <v>4.10517237130677</v>
      </c>
      <c r="AL52" s="2">
        <f t="shared" si="58"/>
        <v>392.7002077193594</v>
      </c>
      <c r="AM52" s="16">
        <f t="shared" si="59"/>
        <v>0.46680696489604284</v>
      </c>
      <c r="AN52" s="16">
        <f t="shared" si="60"/>
        <v>104.05368996349216</v>
      </c>
      <c r="AO52" s="16">
        <f t="shared" si="61"/>
        <v>58.87294670582813</v>
      </c>
      <c r="AP52" s="16">
        <f t="shared" si="62"/>
        <v>45.18074325766403</v>
      </c>
      <c r="AQ52" s="16">
        <f t="shared" si="63"/>
        <v>1.9880419677898928</v>
      </c>
      <c r="AR52" s="16">
        <f t="shared" si="64"/>
        <v>1.00983019503132</v>
      </c>
      <c r="AS52" s="16">
        <f t="shared" si="65"/>
        <v>247.53367003808987</v>
      </c>
      <c r="AT52" s="16">
        <f t="shared" si="66"/>
        <v>190.09703758200826</v>
      </c>
      <c r="AV52" s="1">
        <f t="shared" si="67"/>
        <v>3.8697751025000002</v>
      </c>
      <c r="AW52" s="1">
        <f t="shared" si="68"/>
        <v>7.7395502050000005</v>
      </c>
      <c r="AX52">
        <v>700</v>
      </c>
    </row>
    <row r="53" spans="1:50" ht="12.75">
      <c r="A53" s="10" t="s">
        <v>87</v>
      </c>
      <c r="C53" s="3">
        <v>7.7</v>
      </c>
      <c r="D53" s="1">
        <v>2</v>
      </c>
      <c r="E53" s="1">
        <v>0.5</v>
      </c>
      <c r="F53" s="1">
        <f t="shared" si="28"/>
        <v>3.9</v>
      </c>
      <c r="G53" s="1">
        <f t="shared" si="36"/>
        <v>78</v>
      </c>
      <c r="J53" s="1">
        <v>2.5</v>
      </c>
      <c r="K53" s="1">
        <v>0</v>
      </c>
      <c r="L53" s="1">
        <v>0</v>
      </c>
      <c r="M53" s="1">
        <v>0.5</v>
      </c>
      <c r="N53" s="1">
        <f t="shared" si="37"/>
        <v>257.6690547217364</v>
      </c>
      <c r="O53" s="1">
        <f t="shared" si="38"/>
        <v>0.6382281425545332</v>
      </c>
      <c r="P53" s="1">
        <f t="shared" si="32"/>
        <v>258.3179200000002</v>
      </c>
      <c r="Q53" s="3">
        <f t="shared" si="33"/>
        <v>4.234720000000003</v>
      </c>
      <c r="R53" s="5">
        <f t="shared" si="39"/>
        <v>271.2213269370251</v>
      </c>
      <c r="S53" s="4">
        <f t="shared" si="40"/>
        <v>0.08658008658008658</v>
      </c>
      <c r="T53" s="4">
        <f t="shared" si="41"/>
        <v>0.01278772378516624</v>
      </c>
      <c r="U53" s="4">
        <f t="shared" si="42"/>
        <v>0.32098765432098764</v>
      </c>
      <c r="V53" s="4">
        <f t="shared" si="43"/>
        <v>3.8922155688622757</v>
      </c>
      <c r="W53" s="4">
        <f t="shared" si="44"/>
        <v>0</v>
      </c>
      <c r="X53" s="4">
        <f t="shared" si="45"/>
        <v>0</v>
      </c>
      <c r="Y53" s="4">
        <f t="shared" si="46"/>
        <v>0.07042253521126761</v>
      </c>
      <c r="Z53" s="4">
        <f t="shared" si="47"/>
        <v>0</v>
      </c>
      <c r="AA53" s="4">
        <f t="shared" si="48"/>
        <v>0</v>
      </c>
      <c r="AB53" s="4">
        <f t="shared" si="49"/>
        <v>0.010416666666666666</v>
      </c>
      <c r="AC53" s="4">
        <f t="shared" si="50"/>
        <v>4.224082864290761</v>
      </c>
      <c r="AD53" s="4">
        <f t="shared" si="51"/>
        <v>0.01063713570924222</v>
      </c>
      <c r="AE53" s="1">
        <f t="shared" si="52"/>
        <v>4.312571033548516</v>
      </c>
      <c r="AF53" s="1">
        <f t="shared" si="53"/>
        <v>4.315559201877937</v>
      </c>
      <c r="AG53" s="1">
        <f t="shared" si="54"/>
        <v>-0.002988168329420837</v>
      </c>
      <c r="AH53" s="5">
        <f t="shared" si="55"/>
        <v>-0.03463286074602401</v>
      </c>
      <c r="AI53" s="1">
        <f t="shared" si="56"/>
        <v>8.628130235426454</v>
      </c>
      <c r="AJ53" s="7">
        <f t="shared" si="57"/>
        <v>416.31952276165396</v>
      </c>
      <c r="AK53" s="7">
        <f t="shared" si="1"/>
        <v>4.213203223183263</v>
      </c>
      <c r="AL53" s="2">
        <f t="shared" si="58"/>
        <v>402.1471658717323</v>
      </c>
      <c r="AM53" s="16">
        <f t="shared" si="59"/>
        <v>0.4668048321918712</v>
      </c>
      <c r="AN53" s="16">
        <f t="shared" si="60"/>
        <v>104.04169493227758</v>
      </c>
      <c r="AO53" s="16">
        <f t="shared" si="61"/>
        <v>58.876440260903465</v>
      </c>
      <c r="AP53" s="16">
        <f t="shared" si="62"/>
        <v>45.16525467137412</v>
      </c>
      <c r="AQ53" s="16">
        <f t="shared" si="63"/>
        <v>1.9883450103916611</v>
      </c>
      <c r="AR53" s="16">
        <f t="shared" si="64"/>
        <v>1.009709790730811</v>
      </c>
      <c r="AS53" s="16">
        <f t="shared" si="65"/>
        <v>253.90883082762193</v>
      </c>
      <c r="AT53" s="16">
        <f t="shared" si="66"/>
        <v>194.91333040220906</v>
      </c>
      <c r="AV53" s="1">
        <f t="shared" si="67"/>
        <v>4.4890136025</v>
      </c>
      <c r="AW53" s="1">
        <f t="shared" si="68"/>
        <v>8.978027205</v>
      </c>
      <c r="AX53">
        <v>800</v>
      </c>
    </row>
    <row r="54" spans="1:50" ht="12.75">
      <c r="A54" s="10" t="s">
        <v>88</v>
      </c>
      <c r="C54" s="3">
        <v>7.7</v>
      </c>
      <c r="D54" s="1">
        <v>2</v>
      </c>
      <c r="E54" s="1">
        <v>0.5</v>
      </c>
      <c r="F54" s="1">
        <f t="shared" si="28"/>
        <v>4</v>
      </c>
      <c r="G54" s="1">
        <f t="shared" si="36"/>
        <v>80</v>
      </c>
      <c r="J54" s="1">
        <v>2.5</v>
      </c>
      <c r="K54" s="1">
        <v>0</v>
      </c>
      <c r="L54" s="1">
        <v>0</v>
      </c>
      <c r="M54" s="1">
        <v>0.5</v>
      </c>
      <c r="N54" s="1">
        <f t="shared" si="37"/>
        <v>264.2453741559198</v>
      </c>
      <c r="O54" s="1">
        <f t="shared" si="38"/>
        <v>0.6545172236855864</v>
      </c>
      <c r="P54" s="1">
        <f t="shared" si="32"/>
        <v>264.91080000000017</v>
      </c>
      <c r="Q54" s="3">
        <f t="shared" si="33"/>
        <v>4.342800000000003</v>
      </c>
      <c r="R54" s="5">
        <f t="shared" si="39"/>
        <v>278.1435321868063</v>
      </c>
      <c r="S54" s="4">
        <f t="shared" si="40"/>
        <v>0.08658008658008658</v>
      </c>
      <c r="T54" s="4">
        <f t="shared" si="41"/>
        <v>0.01278772378516624</v>
      </c>
      <c r="U54" s="4">
        <f t="shared" si="42"/>
        <v>0.3292181069958848</v>
      </c>
      <c r="V54" s="4">
        <f t="shared" si="43"/>
        <v>3.9920159680638725</v>
      </c>
      <c r="W54" s="4">
        <f t="shared" si="44"/>
        <v>0</v>
      </c>
      <c r="X54" s="4">
        <f t="shared" si="45"/>
        <v>0</v>
      </c>
      <c r="Y54" s="4">
        <f t="shared" si="46"/>
        <v>0.07042253521126761</v>
      </c>
      <c r="Z54" s="4">
        <f t="shared" si="47"/>
        <v>0</v>
      </c>
      <c r="AA54" s="4">
        <f t="shared" si="48"/>
        <v>0</v>
      </c>
      <c r="AB54" s="4">
        <f t="shared" si="49"/>
        <v>0.010416666666666666</v>
      </c>
      <c r="AC54" s="4">
        <f t="shared" si="50"/>
        <v>4.331891379605243</v>
      </c>
      <c r="AD54" s="4">
        <f t="shared" si="51"/>
        <v>0.010908620394759773</v>
      </c>
      <c r="AE54" s="1">
        <f t="shared" si="52"/>
        <v>4.42060188542501</v>
      </c>
      <c r="AF54" s="1">
        <f t="shared" si="53"/>
        <v>4.423639201877937</v>
      </c>
      <c r="AG54" s="1">
        <f t="shared" si="54"/>
        <v>-0.0030373164529269303</v>
      </c>
      <c r="AH54" s="5">
        <f t="shared" si="55"/>
        <v>-0.03434230730421168</v>
      </c>
      <c r="AI54" s="1">
        <f t="shared" si="56"/>
        <v>8.844241087302947</v>
      </c>
      <c r="AJ54" s="7">
        <f t="shared" si="57"/>
        <v>426.6824079630556</v>
      </c>
      <c r="AK54" s="7">
        <f t="shared" si="1"/>
        <v>4.321234075059757</v>
      </c>
      <c r="AL54" s="2">
        <f t="shared" si="58"/>
        <v>411.5721182488283</v>
      </c>
      <c r="AM54" s="16">
        <f t="shared" si="59"/>
        <v>0.46680283030849684</v>
      </c>
      <c r="AN54" s="16">
        <f t="shared" si="60"/>
        <v>104.03028599558985</v>
      </c>
      <c r="AO54" s="16">
        <f t="shared" si="61"/>
        <v>58.87976306469169</v>
      </c>
      <c r="AP54" s="16">
        <f t="shared" si="62"/>
        <v>45.15052293089817</v>
      </c>
      <c r="AQ54" s="16">
        <f t="shared" si="63"/>
        <v>1.9886330730964963</v>
      </c>
      <c r="AR54" s="16">
        <f t="shared" si="64"/>
        <v>1.009595256436577</v>
      </c>
      <c r="AS54" s="16">
        <f t="shared" si="65"/>
        <v>260.28399161715396</v>
      </c>
      <c r="AT54" s="16">
        <f t="shared" si="66"/>
        <v>199.72962322240988</v>
      </c>
      <c r="AV54" s="1">
        <f t="shared" si="67"/>
        <v>5.1221821025</v>
      </c>
      <c r="AW54" s="1">
        <f t="shared" si="68"/>
        <v>10.244364205</v>
      </c>
      <c r="AX54">
        <v>900</v>
      </c>
    </row>
    <row r="55" spans="1:50" ht="12.75">
      <c r="A55" s="10" t="s">
        <v>89</v>
      </c>
      <c r="C55" s="3">
        <v>7.7</v>
      </c>
      <c r="D55" s="1">
        <v>2</v>
      </c>
      <c r="E55" s="1">
        <v>0.5</v>
      </c>
      <c r="F55" s="1">
        <f t="shared" si="28"/>
        <v>4.1</v>
      </c>
      <c r="G55" s="1">
        <f t="shared" si="36"/>
        <v>82</v>
      </c>
      <c r="J55" s="1">
        <v>2.5</v>
      </c>
      <c r="K55" s="1">
        <v>0</v>
      </c>
      <c r="L55" s="1">
        <v>0</v>
      </c>
      <c r="M55" s="1">
        <v>0.5</v>
      </c>
      <c r="N55" s="1">
        <f t="shared" si="37"/>
        <v>270.8216935901033</v>
      </c>
      <c r="O55" s="1">
        <f t="shared" si="38"/>
        <v>0.6708063048166398</v>
      </c>
      <c r="P55" s="1">
        <f t="shared" si="32"/>
        <v>271.5036800000002</v>
      </c>
      <c r="Q55" s="3">
        <f t="shared" si="33"/>
        <v>4.450880000000003</v>
      </c>
      <c r="R55" s="5">
        <f t="shared" si="39"/>
        <v>285.06573743658765</v>
      </c>
      <c r="S55" s="4">
        <f t="shared" si="40"/>
        <v>0.08658008658008658</v>
      </c>
      <c r="T55" s="4">
        <f t="shared" si="41"/>
        <v>0.01278772378516624</v>
      </c>
      <c r="U55" s="4">
        <f t="shared" si="42"/>
        <v>0.33744855967078186</v>
      </c>
      <c r="V55" s="4">
        <f t="shared" si="43"/>
        <v>4.091816367265469</v>
      </c>
      <c r="W55" s="4">
        <f t="shared" si="44"/>
        <v>0</v>
      </c>
      <c r="X55" s="4">
        <f t="shared" si="45"/>
        <v>0</v>
      </c>
      <c r="Y55" s="4">
        <f t="shared" si="46"/>
        <v>0.07042253521126761</v>
      </c>
      <c r="Z55" s="4">
        <f t="shared" si="47"/>
        <v>0</v>
      </c>
      <c r="AA55" s="4">
        <f t="shared" si="48"/>
        <v>0</v>
      </c>
      <c r="AB55" s="4">
        <f t="shared" si="49"/>
        <v>0.010416666666666666</v>
      </c>
      <c r="AC55" s="4">
        <f t="shared" si="50"/>
        <v>4.439699894919726</v>
      </c>
      <c r="AD55" s="4">
        <f t="shared" si="51"/>
        <v>0.01118010508027733</v>
      </c>
      <c r="AE55" s="1">
        <f t="shared" si="52"/>
        <v>4.528632737301504</v>
      </c>
      <c r="AF55" s="1">
        <f t="shared" si="53"/>
        <v>4.531719201877937</v>
      </c>
      <c r="AG55" s="1">
        <f t="shared" si="54"/>
        <v>-0.0030864645764330234</v>
      </c>
      <c r="AH55" s="5">
        <f t="shared" si="55"/>
        <v>-0.03406561463784101</v>
      </c>
      <c r="AI55" s="1">
        <f t="shared" si="56"/>
        <v>9.06035193917944</v>
      </c>
      <c r="AJ55" s="7">
        <f t="shared" si="57"/>
        <v>437.04529316445723</v>
      </c>
      <c r="AK55" s="7">
        <f t="shared" si="1"/>
        <v>4.429264926936251</v>
      </c>
      <c r="AL55" s="2">
        <f t="shared" si="58"/>
        <v>420.97533558030676</v>
      </c>
      <c r="AM55" s="16">
        <f t="shared" si="59"/>
        <v>0.46680094802903294</v>
      </c>
      <c r="AN55" s="16">
        <f t="shared" si="60"/>
        <v>104.01942122171587</v>
      </c>
      <c r="AO55" s="16">
        <f t="shared" si="61"/>
        <v>58.882927337044634</v>
      </c>
      <c r="AP55" s="16">
        <f t="shared" si="62"/>
        <v>45.136493884671246</v>
      </c>
      <c r="AQ55" s="16">
        <f t="shared" si="63"/>
        <v>1.9889072398357532</v>
      </c>
      <c r="AR55" s="16">
        <f t="shared" si="64"/>
        <v>1.0094861730976032</v>
      </c>
      <c r="AS55" s="16">
        <f t="shared" si="65"/>
        <v>266.659152406686</v>
      </c>
      <c r="AT55" s="16">
        <f t="shared" si="66"/>
        <v>204.54591604261077</v>
      </c>
      <c r="AV55" s="1">
        <f t="shared" si="67"/>
        <v>5.7692806025</v>
      </c>
      <c r="AW55" s="1">
        <f t="shared" si="68"/>
        <v>11.538561205</v>
      </c>
      <c r="AX55">
        <v>1000</v>
      </c>
    </row>
    <row r="56" spans="1:46" ht="12.75">
      <c r="A56" s="10" t="s">
        <v>90</v>
      </c>
      <c r="C56" s="3">
        <v>7.7</v>
      </c>
      <c r="D56" s="1">
        <v>2</v>
      </c>
      <c r="E56" s="1">
        <v>0.5</v>
      </c>
      <c r="F56" s="1">
        <f t="shared" si="28"/>
        <v>4.2</v>
      </c>
      <c r="G56" s="1">
        <f t="shared" si="36"/>
        <v>84</v>
      </c>
      <c r="J56" s="1">
        <v>2.5</v>
      </c>
      <c r="K56" s="1">
        <v>0</v>
      </c>
      <c r="L56" s="1">
        <v>0</v>
      </c>
      <c r="M56" s="1">
        <v>0.5</v>
      </c>
      <c r="N56" s="1">
        <f t="shared" si="37"/>
        <v>277.39801302428674</v>
      </c>
      <c r="O56" s="1">
        <f t="shared" si="38"/>
        <v>0.687095385947693</v>
      </c>
      <c r="P56" s="1">
        <f t="shared" si="32"/>
        <v>278.09656000000024</v>
      </c>
      <c r="Q56" s="3">
        <f t="shared" si="33"/>
        <v>4.5589600000000035</v>
      </c>
      <c r="R56" s="5">
        <f t="shared" si="39"/>
        <v>291.9879426863689</v>
      </c>
      <c r="S56" s="4">
        <f t="shared" si="40"/>
        <v>0.08658008658008658</v>
      </c>
      <c r="T56" s="4">
        <f t="shared" si="41"/>
        <v>0.01278772378516624</v>
      </c>
      <c r="U56" s="4">
        <f t="shared" si="42"/>
        <v>0.345679012345679</v>
      </c>
      <c r="V56" s="4">
        <f t="shared" si="43"/>
        <v>4.191616766467066</v>
      </c>
      <c r="W56" s="4">
        <f t="shared" si="44"/>
        <v>0</v>
      </c>
      <c r="X56" s="4">
        <f t="shared" si="45"/>
        <v>0</v>
      </c>
      <c r="Y56" s="4">
        <f t="shared" si="46"/>
        <v>0.07042253521126761</v>
      </c>
      <c r="Z56" s="4">
        <f t="shared" si="47"/>
        <v>0</v>
      </c>
      <c r="AA56" s="4">
        <f t="shared" si="48"/>
        <v>0</v>
      </c>
      <c r="AB56" s="4">
        <f t="shared" si="49"/>
        <v>0.010416666666666666</v>
      </c>
      <c r="AC56" s="4">
        <f t="shared" si="50"/>
        <v>4.547508410234209</v>
      </c>
      <c r="AD56" s="4">
        <f t="shared" si="51"/>
        <v>0.011451589765794884</v>
      </c>
      <c r="AE56" s="1">
        <f t="shared" si="52"/>
        <v>4.6366635891779975</v>
      </c>
      <c r="AF56" s="1">
        <f t="shared" si="53"/>
        <v>4.6397992018779375</v>
      </c>
      <c r="AG56" s="1">
        <f t="shared" si="54"/>
        <v>-0.0031356126999400047</v>
      </c>
      <c r="AH56" s="5">
        <f t="shared" si="55"/>
        <v>-0.03380181401647254</v>
      </c>
      <c r="AI56" s="1">
        <f t="shared" si="56"/>
        <v>9.276462791055934</v>
      </c>
      <c r="AJ56" s="7">
        <f t="shared" si="57"/>
        <v>447.40817836585893</v>
      </c>
      <c r="AK56" s="7">
        <f t="shared" si="1"/>
        <v>4.537295778812744</v>
      </c>
      <c r="AL56" s="2">
        <f t="shared" si="58"/>
        <v>430.35707884484304</v>
      </c>
      <c r="AM56" s="16">
        <f t="shared" si="59"/>
        <v>0.4667991753506039</v>
      </c>
      <c r="AN56" s="16">
        <f t="shared" si="60"/>
        <v>104.0090625857386</v>
      </c>
      <c r="AO56" s="16">
        <f t="shared" si="61"/>
        <v>58.88594415895987</v>
      </c>
      <c r="AP56" s="16">
        <f t="shared" si="62"/>
        <v>45.12311842677873</v>
      </c>
      <c r="AQ56" s="16">
        <f t="shared" si="63"/>
        <v>1.9891684924273854</v>
      </c>
      <c r="AR56" s="16">
        <f t="shared" si="64"/>
        <v>1.0093821606230091</v>
      </c>
      <c r="AS56" s="16">
        <f t="shared" si="65"/>
        <v>273.034313196218</v>
      </c>
      <c r="AT56" s="16">
        <f t="shared" si="66"/>
        <v>209.3622088628116</v>
      </c>
    </row>
    <row r="57" spans="1:46" ht="12.75">
      <c r="A57" s="10" t="s">
        <v>91</v>
      </c>
      <c r="C57" s="3">
        <v>7.7</v>
      </c>
      <c r="D57" s="1">
        <v>2</v>
      </c>
      <c r="E57" s="1">
        <v>0.5</v>
      </c>
      <c r="F57" s="1">
        <f t="shared" si="28"/>
        <v>4.3</v>
      </c>
      <c r="G57" s="1">
        <f t="shared" si="36"/>
        <v>86</v>
      </c>
      <c r="J57" s="1">
        <v>2.5</v>
      </c>
      <c r="K57" s="1">
        <v>0</v>
      </c>
      <c r="L57" s="1">
        <v>0</v>
      </c>
      <c r="M57" s="1">
        <v>0.5</v>
      </c>
      <c r="N57" s="1">
        <f t="shared" si="37"/>
        <v>283.97433245847014</v>
      </c>
      <c r="O57" s="1">
        <f t="shared" si="38"/>
        <v>0.7033844670787464</v>
      </c>
      <c r="P57" s="1">
        <f t="shared" si="32"/>
        <v>284.6894400000002</v>
      </c>
      <c r="Q57" s="3">
        <f t="shared" si="33"/>
        <v>4.667040000000004</v>
      </c>
      <c r="R57" s="5">
        <f t="shared" si="39"/>
        <v>298.9101479361501</v>
      </c>
      <c r="S57" s="4">
        <f t="shared" si="40"/>
        <v>0.08658008658008658</v>
      </c>
      <c r="T57" s="4">
        <f t="shared" si="41"/>
        <v>0.01278772378516624</v>
      </c>
      <c r="U57" s="4">
        <f t="shared" si="42"/>
        <v>0.35390946502057613</v>
      </c>
      <c r="V57" s="4">
        <f t="shared" si="43"/>
        <v>4.291417165668663</v>
      </c>
      <c r="W57" s="4">
        <f t="shared" si="44"/>
        <v>0</v>
      </c>
      <c r="X57" s="4">
        <f t="shared" si="45"/>
        <v>0</v>
      </c>
      <c r="Y57" s="4">
        <f t="shared" si="46"/>
        <v>0.07042253521126761</v>
      </c>
      <c r="Z57" s="4">
        <f t="shared" si="47"/>
        <v>0</v>
      </c>
      <c r="AA57" s="4">
        <f t="shared" si="48"/>
        <v>0</v>
      </c>
      <c r="AB57" s="4">
        <f t="shared" si="49"/>
        <v>0.010416666666666666</v>
      </c>
      <c r="AC57" s="4">
        <f t="shared" si="50"/>
        <v>4.655316925548691</v>
      </c>
      <c r="AD57" s="4">
        <f t="shared" si="51"/>
        <v>0.011723074451312439</v>
      </c>
      <c r="AE57" s="1">
        <f t="shared" si="52"/>
        <v>4.744694441054492</v>
      </c>
      <c r="AF57" s="1">
        <f t="shared" si="53"/>
        <v>4.747879201877938</v>
      </c>
      <c r="AG57" s="1">
        <f t="shared" si="54"/>
        <v>-0.003184760823446098</v>
      </c>
      <c r="AH57" s="5">
        <f t="shared" si="55"/>
        <v>-0.03355002492729956</v>
      </c>
      <c r="AI57" s="1">
        <f t="shared" si="56"/>
        <v>9.49257364293243</v>
      </c>
      <c r="AJ57" s="7">
        <f t="shared" si="57"/>
        <v>457.77106356726057</v>
      </c>
      <c r="AK57" s="7">
        <f t="shared" si="1"/>
        <v>4.645326630689239</v>
      </c>
      <c r="AL57" s="2">
        <f t="shared" si="58"/>
        <v>439.71759984167335</v>
      </c>
      <c r="AM57" s="16">
        <f t="shared" si="59"/>
        <v>0.46679750332739517</v>
      </c>
      <c r="AN57" s="16">
        <f t="shared" si="60"/>
        <v>103.99917552489663</v>
      </c>
      <c r="AO57" s="16">
        <f t="shared" si="61"/>
        <v>58.88882360223229</v>
      </c>
      <c r="AP57" s="16">
        <f t="shared" si="62"/>
        <v>45.110351922664336</v>
      </c>
      <c r="AQ57" s="16">
        <f t="shared" si="63"/>
        <v>1.9894177223239395</v>
      </c>
      <c r="AR57" s="16">
        <f t="shared" si="64"/>
        <v>1.0092828734571329</v>
      </c>
      <c r="AS57" s="16">
        <f t="shared" si="65"/>
        <v>279.4094739857501</v>
      </c>
      <c r="AT57" s="16">
        <f t="shared" si="66"/>
        <v>214.17850168301243</v>
      </c>
    </row>
    <row r="58" spans="1:46" ht="12.75">
      <c r="A58" s="10" t="s">
        <v>92</v>
      </c>
      <c r="C58" s="3">
        <v>7.7</v>
      </c>
      <c r="D58" s="1">
        <v>2</v>
      </c>
      <c r="E58" s="1">
        <v>0.5</v>
      </c>
      <c r="F58" s="1">
        <f t="shared" si="28"/>
        <v>4.4</v>
      </c>
      <c r="G58" s="1">
        <f t="shared" si="36"/>
        <v>88</v>
      </c>
      <c r="J58" s="1">
        <v>2.5</v>
      </c>
      <c r="K58" s="1">
        <v>0</v>
      </c>
      <c r="L58" s="1">
        <v>0</v>
      </c>
      <c r="M58" s="1">
        <v>0.5</v>
      </c>
      <c r="N58" s="1">
        <f t="shared" si="37"/>
        <v>290.5506518926536</v>
      </c>
      <c r="O58" s="1">
        <f t="shared" si="38"/>
        <v>0.7196735482097997</v>
      </c>
      <c r="P58" s="1">
        <f t="shared" si="32"/>
        <v>291.28232000000025</v>
      </c>
      <c r="Q58" s="3">
        <f t="shared" si="33"/>
        <v>4.775120000000004</v>
      </c>
      <c r="R58" s="5">
        <f t="shared" si="39"/>
        <v>305.8323531859314</v>
      </c>
      <c r="S58" s="4">
        <f t="shared" si="40"/>
        <v>0.08658008658008658</v>
      </c>
      <c r="T58" s="4">
        <f t="shared" si="41"/>
        <v>0.01278772378516624</v>
      </c>
      <c r="U58" s="4">
        <f t="shared" si="42"/>
        <v>0.36213991769547327</v>
      </c>
      <c r="V58" s="4">
        <f t="shared" si="43"/>
        <v>4.39121756487026</v>
      </c>
      <c r="W58" s="4">
        <f t="shared" si="44"/>
        <v>0</v>
      </c>
      <c r="X58" s="4">
        <f t="shared" si="45"/>
        <v>0</v>
      </c>
      <c r="Y58" s="4">
        <f t="shared" si="46"/>
        <v>0.07042253521126761</v>
      </c>
      <c r="Z58" s="4">
        <f t="shared" si="47"/>
        <v>0</v>
      </c>
      <c r="AA58" s="4">
        <f t="shared" si="48"/>
        <v>0</v>
      </c>
      <c r="AB58" s="4">
        <f t="shared" si="49"/>
        <v>0.010416666666666666</v>
      </c>
      <c r="AC58" s="4">
        <f t="shared" si="50"/>
        <v>4.763125440863174</v>
      </c>
      <c r="AD58" s="4">
        <f t="shared" si="51"/>
        <v>0.011994559136829995</v>
      </c>
      <c r="AE58" s="1">
        <f t="shared" si="52"/>
        <v>4.8527252929309865</v>
      </c>
      <c r="AF58" s="1">
        <f t="shared" si="53"/>
        <v>4.855959201877938</v>
      </c>
      <c r="AG58" s="1">
        <f t="shared" si="54"/>
        <v>-0.0032339089469513027</v>
      </c>
      <c r="AH58" s="5">
        <f t="shared" si="55"/>
        <v>-0.03330944525677419</v>
      </c>
      <c r="AI58" s="1">
        <f t="shared" si="56"/>
        <v>9.708684494808924</v>
      </c>
      <c r="AJ58" s="7">
        <f t="shared" si="57"/>
        <v>468.1339487686622</v>
      </c>
      <c r="AK58" s="7">
        <f t="shared" si="1"/>
        <v>4.753357482565733</v>
      </c>
      <c r="AL58" s="2">
        <f t="shared" si="58"/>
        <v>449.0571417163178</v>
      </c>
      <c r="AM58" s="16">
        <f t="shared" si="59"/>
        <v>0.4667959239371151</v>
      </c>
      <c r="AN58" s="16">
        <f t="shared" si="60"/>
        <v>103.9897285533186</v>
      </c>
      <c r="AO58" s="16">
        <f t="shared" si="61"/>
        <v>58.89157484178788</v>
      </c>
      <c r="AP58" s="16">
        <f t="shared" si="62"/>
        <v>45.09815371153072</v>
      </c>
      <c r="AQ58" s="16">
        <f t="shared" si="63"/>
        <v>1.9896557407751343</v>
      </c>
      <c r="AR58" s="16">
        <f t="shared" si="64"/>
        <v>1.0091879967442932</v>
      </c>
      <c r="AS58" s="16">
        <f t="shared" si="65"/>
        <v>285.7846347752822</v>
      </c>
      <c r="AT58" s="16">
        <f t="shared" si="66"/>
        <v>218.99479450321328</v>
      </c>
    </row>
    <row r="59" spans="1:46" ht="12.75">
      <c r="A59" s="10" t="s">
        <v>93</v>
      </c>
      <c r="C59" s="3">
        <v>7.7</v>
      </c>
      <c r="D59" s="1">
        <v>2</v>
      </c>
      <c r="E59" s="1">
        <v>0.5</v>
      </c>
      <c r="F59" s="1">
        <f t="shared" si="28"/>
        <v>4.5</v>
      </c>
      <c r="G59" s="1">
        <f t="shared" si="36"/>
        <v>90</v>
      </c>
      <c r="J59" s="1">
        <v>2.5</v>
      </c>
      <c r="K59" s="1">
        <v>0</v>
      </c>
      <c r="L59" s="1">
        <v>0</v>
      </c>
      <c r="M59" s="1">
        <v>0.5</v>
      </c>
      <c r="N59" s="1">
        <f t="shared" si="37"/>
        <v>297.126971326837</v>
      </c>
      <c r="O59" s="1">
        <f t="shared" si="38"/>
        <v>0.7359626293408529</v>
      </c>
      <c r="P59" s="1">
        <f t="shared" si="32"/>
        <v>297.87520000000023</v>
      </c>
      <c r="Q59" s="3">
        <f t="shared" si="33"/>
        <v>4.883200000000004</v>
      </c>
      <c r="R59" s="5">
        <f t="shared" si="39"/>
        <v>312.7545584357126</v>
      </c>
      <c r="S59" s="4">
        <f t="shared" si="40"/>
        <v>0.08658008658008658</v>
      </c>
      <c r="T59" s="4">
        <f t="shared" si="41"/>
        <v>0.01278772378516624</v>
      </c>
      <c r="U59" s="4">
        <f t="shared" si="42"/>
        <v>0.37037037037037035</v>
      </c>
      <c r="V59" s="4">
        <f t="shared" si="43"/>
        <v>4.491017964071856</v>
      </c>
      <c r="W59" s="4">
        <f t="shared" si="44"/>
        <v>0</v>
      </c>
      <c r="X59" s="4">
        <f t="shared" si="45"/>
        <v>0</v>
      </c>
      <c r="Y59" s="4">
        <f t="shared" si="46"/>
        <v>0.07042253521126761</v>
      </c>
      <c r="Z59" s="4">
        <f t="shared" si="47"/>
        <v>0</v>
      </c>
      <c r="AA59" s="4">
        <f t="shared" si="48"/>
        <v>0</v>
      </c>
      <c r="AB59" s="4">
        <f t="shared" si="49"/>
        <v>0.010416666666666666</v>
      </c>
      <c r="AC59" s="4">
        <f t="shared" si="50"/>
        <v>4.870933956177656</v>
      </c>
      <c r="AD59" s="4">
        <f t="shared" si="51"/>
        <v>0.012266043822347548</v>
      </c>
      <c r="AE59" s="1">
        <f t="shared" si="52"/>
        <v>4.96075614480748</v>
      </c>
      <c r="AF59" s="1">
        <f t="shared" si="53"/>
        <v>4.964039201877938</v>
      </c>
      <c r="AG59" s="1">
        <f t="shared" si="54"/>
        <v>-0.003283057070458284</v>
      </c>
      <c r="AH59" s="5">
        <f t="shared" si="55"/>
        <v>-0.03307934275495893</v>
      </c>
      <c r="AI59" s="1">
        <f t="shared" si="56"/>
        <v>9.924795346685418</v>
      </c>
      <c r="AJ59" s="7">
        <f t="shared" si="57"/>
        <v>478.49683397006385</v>
      </c>
      <c r="AK59" s="7">
        <f t="shared" si="1"/>
        <v>4.861388334442227</v>
      </c>
      <c r="AL59" s="2">
        <f t="shared" si="58"/>
        <v>458.37593944510127</v>
      </c>
      <c r="AM59" s="16">
        <f t="shared" si="59"/>
        <v>0.4667944299669312</v>
      </c>
      <c r="AN59" s="16">
        <f t="shared" si="60"/>
        <v>103.98069292708408</v>
      </c>
      <c r="AO59" s="16">
        <f t="shared" si="61"/>
        <v>58.89420625333974</v>
      </c>
      <c r="AP59" s="16">
        <f t="shared" si="62"/>
        <v>45.08648667374433</v>
      </c>
      <c r="AQ59" s="16">
        <f t="shared" si="63"/>
        <v>1.9898832876491304</v>
      </c>
      <c r="AR59" s="16">
        <f t="shared" si="64"/>
        <v>1.0090972429935432</v>
      </c>
      <c r="AS59" s="16">
        <f t="shared" si="65"/>
        <v>292.1597955648142</v>
      </c>
      <c r="AT59" s="16">
        <f t="shared" si="66"/>
        <v>223.81108732341409</v>
      </c>
    </row>
    <row r="60" spans="1:46" ht="12.75">
      <c r="A60" s="10" t="s">
        <v>94</v>
      </c>
      <c r="C60" s="3">
        <v>7.7</v>
      </c>
      <c r="D60" s="1">
        <v>2</v>
      </c>
      <c r="E60" s="1">
        <v>0.5</v>
      </c>
      <c r="F60" s="1">
        <f t="shared" si="28"/>
        <v>4.6</v>
      </c>
      <c r="G60" s="1">
        <f t="shared" si="36"/>
        <v>92</v>
      </c>
      <c r="J60" s="1">
        <v>2.5</v>
      </c>
      <c r="K60" s="1">
        <v>0</v>
      </c>
      <c r="L60" s="1">
        <v>0</v>
      </c>
      <c r="M60" s="1">
        <v>0.5</v>
      </c>
      <c r="N60" s="1">
        <f t="shared" si="37"/>
        <v>303.7032907610205</v>
      </c>
      <c r="O60" s="1">
        <f t="shared" si="38"/>
        <v>0.7522517104719062</v>
      </c>
      <c r="P60" s="1">
        <f t="shared" si="32"/>
        <v>304.46808000000027</v>
      </c>
      <c r="Q60" s="3">
        <f t="shared" si="33"/>
        <v>4.991280000000004</v>
      </c>
      <c r="R60" s="5">
        <f t="shared" si="39"/>
        <v>319.67676368549394</v>
      </c>
      <c r="S60" s="4">
        <f t="shared" si="40"/>
        <v>0.08658008658008658</v>
      </c>
      <c r="T60" s="4">
        <f t="shared" si="41"/>
        <v>0.01278772378516624</v>
      </c>
      <c r="U60" s="4">
        <f t="shared" si="42"/>
        <v>0.37860082304526743</v>
      </c>
      <c r="V60" s="4">
        <f t="shared" si="43"/>
        <v>4.590818363273454</v>
      </c>
      <c r="W60" s="4">
        <f t="shared" si="44"/>
        <v>0</v>
      </c>
      <c r="X60" s="4">
        <f t="shared" si="45"/>
        <v>0</v>
      </c>
      <c r="Y60" s="4">
        <f t="shared" si="46"/>
        <v>0.07042253521126761</v>
      </c>
      <c r="Z60" s="4">
        <f t="shared" si="47"/>
        <v>0</v>
      </c>
      <c r="AA60" s="4">
        <f t="shared" si="48"/>
        <v>0</v>
      </c>
      <c r="AB60" s="4">
        <f t="shared" si="49"/>
        <v>0.010416666666666666</v>
      </c>
      <c r="AC60" s="4">
        <f t="shared" si="50"/>
        <v>4.97874247149214</v>
      </c>
      <c r="AD60" s="4">
        <f t="shared" si="51"/>
        <v>0.012537528507865103</v>
      </c>
      <c r="AE60" s="1">
        <f t="shared" si="52"/>
        <v>5.068786996683974</v>
      </c>
      <c r="AF60" s="1">
        <f t="shared" si="53"/>
        <v>5.072119201877939</v>
      </c>
      <c r="AG60" s="1">
        <f t="shared" si="54"/>
        <v>-0.0033322051939652653</v>
      </c>
      <c r="AH60" s="5">
        <f t="shared" si="55"/>
        <v>-0.03285904759120843</v>
      </c>
      <c r="AI60" s="1">
        <f t="shared" si="56"/>
        <v>10.140906198561913</v>
      </c>
      <c r="AJ60" s="7">
        <f t="shared" si="57"/>
        <v>488.8597191714655</v>
      </c>
      <c r="AK60" s="7">
        <f t="shared" si="1"/>
        <v>4.969419186318721</v>
      </c>
      <c r="AL60" s="2">
        <f t="shared" si="58"/>
        <v>467.6742202825312</v>
      </c>
      <c r="AM60" s="16">
        <f t="shared" si="59"/>
        <v>0.46679301491568126</v>
      </c>
      <c r="AN60" s="16">
        <f t="shared" si="60"/>
        <v>103.97204235210441</v>
      </c>
      <c r="AO60" s="16">
        <f t="shared" si="61"/>
        <v>58.89672549855604</v>
      </c>
      <c r="AP60" s="16">
        <f t="shared" si="62"/>
        <v>45.07531685354837</v>
      </c>
      <c r="AQ60" s="16">
        <f t="shared" si="63"/>
        <v>1.9901010391145872</v>
      </c>
      <c r="AR60" s="16">
        <f t="shared" si="64"/>
        <v>1.0090103491689877</v>
      </c>
      <c r="AS60" s="16">
        <f t="shared" si="65"/>
        <v>298.53495635434626</v>
      </c>
      <c r="AT60" s="16">
        <f t="shared" si="66"/>
        <v>228.627380143615</v>
      </c>
    </row>
    <row r="61" spans="1:46" ht="12.75">
      <c r="A61" s="10" t="s">
        <v>95</v>
      </c>
      <c r="C61" s="3">
        <v>7.7</v>
      </c>
      <c r="D61" s="1">
        <v>2</v>
      </c>
      <c r="E61" s="1">
        <v>0.5</v>
      </c>
      <c r="F61" s="1">
        <f t="shared" si="28"/>
        <v>4.7</v>
      </c>
      <c r="G61" s="1">
        <f t="shared" si="36"/>
        <v>94</v>
      </c>
      <c r="J61" s="1">
        <v>2.5</v>
      </c>
      <c r="K61" s="1">
        <v>0</v>
      </c>
      <c r="L61" s="1">
        <v>0</v>
      </c>
      <c r="M61" s="1">
        <v>0.5</v>
      </c>
      <c r="N61" s="1">
        <f t="shared" si="37"/>
        <v>310.27961019520393</v>
      </c>
      <c r="O61" s="1">
        <f t="shared" si="38"/>
        <v>0.7685407916029594</v>
      </c>
      <c r="P61" s="1">
        <f t="shared" si="32"/>
        <v>311.06096000000025</v>
      </c>
      <c r="Q61" s="3">
        <f t="shared" si="33"/>
        <v>5.099360000000004</v>
      </c>
      <c r="R61" s="5">
        <f t="shared" si="39"/>
        <v>326.5989689352752</v>
      </c>
      <c r="S61" s="4">
        <f t="shared" si="40"/>
        <v>0.08658008658008658</v>
      </c>
      <c r="T61" s="4">
        <f t="shared" si="41"/>
        <v>0.01278772378516624</v>
      </c>
      <c r="U61" s="4">
        <f t="shared" si="42"/>
        <v>0.3868312757201646</v>
      </c>
      <c r="V61" s="4">
        <f t="shared" si="43"/>
        <v>4.69061876247505</v>
      </c>
      <c r="W61" s="4">
        <f t="shared" si="44"/>
        <v>0</v>
      </c>
      <c r="X61" s="4">
        <f t="shared" si="45"/>
        <v>0</v>
      </c>
      <c r="Y61" s="4">
        <f t="shared" si="46"/>
        <v>0.07042253521126761</v>
      </c>
      <c r="Z61" s="4">
        <f t="shared" si="47"/>
        <v>0</v>
      </c>
      <c r="AA61" s="4">
        <f t="shared" si="48"/>
        <v>0</v>
      </c>
      <c r="AB61" s="4">
        <f t="shared" si="49"/>
        <v>0.010416666666666666</v>
      </c>
      <c r="AC61" s="4">
        <f t="shared" si="50"/>
        <v>5.086550986806622</v>
      </c>
      <c r="AD61" s="4">
        <f t="shared" si="51"/>
        <v>0.012809013193382656</v>
      </c>
      <c r="AE61" s="1">
        <f t="shared" si="52"/>
        <v>5.176817848560467</v>
      </c>
      <c r="AF61" s="1">
        <f t="shared" si="53"/>
        <v>5.180199201877938</v>
      </c>
      <c r="AG61" s="1">
        <f t="shared" si="54"/>
        <v>-0.0033813533174713584</v>
      </c>
      <c r="AH61" s="5">
        <f t="shared" si="55"/>
        <v>-0.03264794584197608</v>
      </c>
      <c r="AI61" s="1">
        <f t="shared" si="56"/>
        <v>10.357017050438404</v>
      </c>
      <c r="AJ61" s="7">
        <f t="shared" si="57"/>
        <v>499.2226043728672</v>
      </c>
      <c r="AK61" s="7">
        <f t="shared" si="1"/>
        <v>5.077450038195215</v>
      </c>
      <c r="AL61" s="2">
        <f t="shared" si="58"/>
        <v>476.95220417511257</v>
      </c>
      <c r="AM61" s="16">
        <f t="shared" si="59"/>
        <v>0.4667916729097423</v>
      </c>
      <c r="AN61" s="16">
        <f t="shared" si="60"/>
        <v>103.96375272857031</v>
      </c>
      <c r="AO61" s="16">
        <f t="shared" si="61"/>
        <v>58.899139599564144</v>
      </c>
      <c r="AP61" s="16">
        <f t="shared" si="62"/>
        <v>45.06461312900617</v>
      </c>
      <c r="AQ61" s="16">
        <f t="shared" si="63"/>
        <v>1.9903096143515426</v>
      </c>
      <c r="AR61" s="16">
        <f t="shared" si="64"/>
        <v>1.0089270741436327</v>
      </c>
      <c r="AS61" s="16">
        <f t="shared" si="65"/>
        <v>304.91011714387827</v>
      </c>
      <c r="AT61" s="16">
        <f t="shared" si="66"/>
        <v>233.44367296381583</v>
      </c>
    </row>
    <row r="62" spans="1:46" ht="12.75">
      <c r="A62" s="10" t="s">
        <v>96</v>
      </c>
      <c r="C62" s="3">
        <v>7.7</v>
      </c>
      <c r="D62" s="1">
        <v>2</v>
      </c>
      <c r="E62" s="1">
        <v>0.5</v>
      </c>
      <c r="F62" s="1">
        <f t="shared" si="28"/>
        <v>4.8</v>
      </c>
      <c r="G62" s="1">
        <f t="shared" si="36"/>
        <v>96</v>
      </c>
      <c r="J62" s="1">
        <v>2.5</v>
      </c>
      <c r="K62" s="1">
        <v>0</v>
      </c>
      <c r="L62" s="1">
        <v>0</v>
      </c>
      <c r="M62" s="1">
        <v>0.5</v>
      </c>
      <c r="N62" s="1">
        <f t="shared" si="37"/>
        <v>316.8559296293874</v>
      </c>
      <c r="O62" s="1">
        <f t="shared" si="38"/>
        <v>0.7848298727340127</v>
      </c>
      <c r="P62" s="1">
        <f t="shared" si="32"/>
        <v>317.6538400000003</v>
      </c>
      <c r="Q62" s="3">
        <f t="shared" si="33"/>
        <v>5.2074400000000045</v>
      </c>
      <c r="R62" s="5">
        <f t="shared" si="39"/>
        <v>333.52117418505645</v>
      </c>
      <c r="S62" s="4">
        <f t="shared" si="40"/>
        <v>0.08658008658008658</v>
      </c>
      <c r="T62" s="4">
        <f t="shared" si="41"/>
        <v>0.01278772378516624</v>
      </c>
      <c r="U62" s="4">
        <f t="shared" si="42"/>
        <v>0.3950617283950617</v>
      </c>
      <c r="V62" s="4">
        <f t="shared" si="43"/>
        <v>4.790419161676647</v>
      </c>
      <c r="W62" s="4">
        <f t="shared" si="44"/>
        <v>0</v>
      </c>
      <c r="X62" s="4">
        <f t="shared" si="45"/>
        <v>0</v>
      </c>
      <c r="Y62" s="4">
        <f t="shared" si="46"/>
        <v>0.07042253521126761</v>
      </c>
      <c r="Z62" s="4">
        <f t="shared" si="47"/>
        <v>0</v>
      </c>
      <c r="AA62" s="4">
        <f t="shared" si="48"/>
        <v>0</v>
      </c>
      <c r="AB62" s="4">
        <f t="shared" si="49"/>
        <v>0.010416666666666666</v>
      </c>
      <c r="AC62" s="4">
        <f t="shared" si="50"/>
        <v>5.194359502121105</v>
      </c>
      <c r="AD62" s="4">
        <f t="shared" si="51"/>
        <v>0.013080497878900211</v>
      </c>
      <c r="AE62" s="1">
        <f t="shared" si="52"/>
        <v>5.284848700436962</v>
      </c>
      <c r="AF62" s="1">
        <f t="shared" si="53"/>
        <v>5.288279201877939</v>
      </c>
      <c r="AG62" s="1">
        <f t="shared" si="54"/>
        <v>-0.0034305014409774515</v>
      </c>
      <c r="AH62" s="5">
        <f t="shared" si="55"/>
        <v>-0.03244547377721942</v>
      </c>
      <c r="AI62" s="1">
        <f t="shared" si="56"/>
        <v>10.573127902314901</v>
      </c>
      <c r="AJ62" s="7">
        <f t="shared" si="57"/>
        <v>509.5854895742689</v>
      </c>
      <c r="AK62" s="7">
        <f t="shared" si="1"/>
        <v>5.185480890071709</v>
      </c>
      <c r="AL62" s="2">
        <f t="shared" si="58"/>
        <v>486.2101041447733</v>
      </c>
      <c r="AM62" s="16">
        <f t="shared" si="59"/>
        <v>0.4667903986304003</v>
      </c>
      <c r="AN62" s="16">
        <f t="shared" si="60"/>
        <v>103.95580192673494</v>
      </c>
      <c r="AO62" s="16">
        <f t="shared" si="61"/>
        <v>58.901455004316894</v>
      </c>
      <c r="AP62" s="16">
        <f t="shared" si="62"/>
        <v>45.05434692241804</v>
      </c>
      <c r="AQ62" s="16">
        <f t="shared" si="63"/>
        <v>1.9905095814313876</v>
      </c>
      <c r="AR62" s="16">
        <f t="shared" si="64"/>
        <v>1.008847196464857</v>
      </c>
      <c r="AS62" s="16">
        <f t="shared" si="65"/>
        <v>311.2852779334103</v>
      </c>
      <c r="AT62" s="16">
        <f t="shared" si="66"/>
        <v>238.25996578401669</v>
      </c>
    </row>
    <row r="63" spans="1:46" ht="12.75">
      <c r="A63" s="10" t="s">
        <v>97</v>
      </c>
      <c r="C63" s="3">
        <v>7.7</v>
      </c>
      <c r="D63" s="1">
        <v>2</v>
      </c>
      <c r="E63" s="1">
        <v>0.5</v>
      </c>
      <c r="F63" s="1">
        <f t="shared" si="28"/>
        <v>4.9</v>
      </c>
      <c r="G63" s="1">
        <f t="shared" si="36"/>
        <v>98</v>
      </c>
      <c r="J63" s="1">
        <v>2.5</v>
      </c>
      <c r="K63" s="1">
        <v>0</v>
      </c>
      <c r="L63" s="1">
        <v>0</v>
      </c>
      <c r="M63" s="1">
        <v>0.5</v>
      </c>
      <c r="N63" s="1">
        <f t="shared" si="37"/>
        <v>323.4322490635708</v>
      </c>
      <c r="O63" s="1">
        <f t="shared" si="38"/>
        <v>0.8011189538650659</v>
      </c>
      <c r="P63" s="1">
        <f t="shared" si="32"/>
        <v>324.24672000000027</v>
      </c>
      <c r="Q63" s="3">
        <f t="shared" si="33"/>
        <v>5.315520000000005</v>
      </c>
      <c r="R63" s="5">
        <f t="shared" si="39"/>
        <v>340.44337943483765</v>
      </c>
      <c r="S63" s="4">
        <f t="shared" si="40"/>
        <v>0.08658008658008658</v>
      </c>
      <c r="T63" s="4">
        <f t="shared" si="41"/>
        <v>0.01278772378516624</v>
      </c>
      <c r="U63" s="4">
        <f t="shared" si="42"/>
        <v>0.40329218106995884</v>
      </c>
      <c r="V63" s="4">
        <f t="shared" si="43"/>
        <v>4.8902195608782435</v>
      </c>
      <c r="W63" s="4">
        <f t="shared" si="44"/>
        <v>0</v>
      </c>
      <c r="X63" s="4">
        <f t="shared" si="45"/>
        <v>0</v>
      </c>
      <c r="Y63" s="4">
        <f t="shared" si="46"/>
        <v>0.07042253521126761</v>
      </c>
      <c r="Z63" s="4">
        <f t="shared" si="47"/>
        <v>0</v>
      </c>
      <c r="AA63" s="4">
        <f t="shared" si="48"/>
        <v>0</v>
      </c>
      <c r="AB63" s="4">
        <f t="shared" si="49"/>
        <v>0.010416666666666666</v>
      </c>
      <c r="AC63" s="4">
        <f t="shared" si="50"/>
        <v>5.302168017435587</v>
      </c>
      <c r="AD63" s="4">
        <f t="shared" si="51"/>
        <v>0.013351982564417766</v>
      </c>
      <c r="AE63" s="1">
        <f t="shared" si="52"/>
        <v>5.392879552313455</v>
      </c>
      <c r="AF63" s="1">
        <f t="shared" si="53"/>
        <v>5.396359201877939</v>
      </c>
      <c r="AG63" s="1">
        <f t="shared" si="54"/>
        <v>-0.0034796495644835446</v>
      </c>
      <c r="AH63" s="5">
        <f t="shared" si="55"/>
        <v>-0.032251112833440385</v>
      </c>
      <c r="AI63" s="1">
        <f t="shared" si="56"/>
        <v>10.789238754191395</v>
      </c>
      <c r="AJ63" s="7">
        <f t="shared" si="57"/>
        <v>519.9483747756705</v>
      </c>
      <c r="AK63" s="7">
        <f t="shared" si="1"/>
        <v>5.293511741948202</v>
      </c>
      <c r="AL63" s="2">
        <f t="shared" si="58"/>
        <v>495.4481266447049</v>
      </c>
      <c r="AM63" s="16">
        <f t="shared" si="59"/>
        <v>0.466789187250953</v>
      </c>
      <c r="AN63" s="16">
        <f t="shared" si="60"/>
        <v>103.94816958963969</v>
      </c>
      <c r="AO63" s="16">
        <f t="shared" si="61"/>
        <v>58.903677644102274</v>
      </c>
      <c r="AP63" s="16">
        <f t="shared" si="62"/>
        <v>45.044491945537416</v>
      </c>
      <c r="AQ63" s="16">
        <f t="shared" si="63"/>
        <v>1.990701462483541</v>
      </c>
      <c r="AR63" s="16">
        <f t="shared" si="64"/>
        <v>1.0087705123879027</v>
      </c>
      <c r="AS63" s="16">
        <f t="shared" si="65"/>
        <v>317.66043872294233</v>
      </c>
      <c r="AT63" s="16">
        <f t="shared" si="66"/>
        <v>243.07625860421751</v>
      </c>
    </row>
    <row r="64" spans="1:46" ht="12.75">
      <c r="A64" s="10" t="s">
        <v>98</v>
      </c>
      <c r="C64" s="3">
        <v>7.7</v>
      </c>
      <c r="D64" s="1">
        <v>2</v>
      </c>
      <c r="E64" s="1">
        <v>0.5</v>
      </c>
      <c r="F64" s="1">
        <f t="shared" si="28"/>
        <v>5</v>
      </c>
      <c r="G64" s="1">
        <f t="shared" si="36"/>
        <v>100</v>
      </c>
      <c r="J64" s="1">
        <v>2.5</v>
      </c>
      <c r="K64" s="1">
        <v>0</v>
      </c>
      <c r="L64" s="1">
        <v>0</v>
      </c>
      <c r="M64" s="1">
        <v>0.5</v>
      </c>
      <c r="N64" s="1">
        <f t="shared" si="37"/>
        <v>330.00856849775425</v>
      </c>
      <c r="O64" s="1">
        <f t="shared" si="38"/>
        <v>0.8174080349961194</v>
      </c>
      <c r="P64" s="1">
        <f t="shared" si="32"/>
        <v>330.8396000000003</v>
      </c>
      <c r="Q64" s="3">
        <f t="shared" si="33"/>
        <v>5.423600000000005</v>
      </c>
      <c r="R64" s="5">
        <f t="shared" si="39"/>
        <v>347.36558468461897</v>
      </c>
      <c r="S64" s="4">
        <f t="shared" si="40"/>
        <v>0.08658008658008658</v>
      </c>
      <c r="T64" s="4">
        <f t="shared" si="41"/>
        <v>0.01278772378516624</v>
      </c>
      <c r="U64" s="4">
        <f t="shared" si="42"/>
        <v>0.411522633744856</v>
      </c>
      <c r="V64" s="4">
        <f t="shared" si="43"/>
        <v>4.990019960079841</v>
      </c>
      <c r="W64" s="4">
        <f t="shared" si="44"/>
        <v>0</v>
      </c>
      <c r="X64" s="4">
        <f t="shared" si="45"/>
        <v>0</v>
      </c>
      <c r="Y64" s="4">
        <f t="shared" si="46"/>
        <v>0.07042253521126761</v>
      </c>
      <c r="Z64" s="4">
        <f t="shared" si="47"/>
        <v>0</v>
      </c>
      <c r="AA64" s="4">
        <f t="shared" si="48"/>
        <v>0</v>
      </c>
      <c r="AB64" s="4">
        <f t="shared" si="49"/>
        <v>0.010416666666666666</v>
      </c>
      <c r="AC64" s="4">
        <f t="shared" si="50"/>
        <v>5.40997653275007</v>
      </c>
      <c r="AD64" s="4">
        <f t="shared" si="51"/>
        <v>0.013623467249935323</v>
      </c>
      <c r="AE64" s="1">
        <f t="shared" si="52"/>
        <v>5.500910404189949</v>
      </c>
      <c r="AF64" s="1">
        <f t="shared" si="53"/>
        <v>5.50443920187794</v>
      </c>
      <c r="AG64" s="1">
        <f t="shared" si="54"/>
        <v>-0.003528797687990526</v>
      </c>
      <c r="AH64" s="5">
        <f t="shared" si="55"/>
        <v>-0.03206438517904869</v>
      </c>
      <c r="AI64" s="1">
        <f t="shared" si="56"/>
        <v>11.005349606067888</v>
      </c>
      <c r="AJ64" s="7">
        <f t="shared" si="57"/>
        <v>530.3112599770722</v>
      </c>
      <c r="AK64" s="7">
        <f t="shared" si="1"/>
        <v>5.401542593824697</v>
      </c>
      <c r="AL64" s="2">
        <f t="shared" si="58"/>
        <v>504.66647189012315</v>
      </c>
      <c r="AM64" s="16">
        <f t="shared" si="59"/>
        <v>0.4667880343820647</v>
      </c>
      <c r="AN64" s="16">
        <f t="shared" si="60"/>
        <v>103.94083695907955</v>
      </c>
      <c r="AO64" s="16">
        <f t="shared" si="61"/>
        <v>58.90581298427658</v>
      </c>
      <c r="AP64" s="16">
        <f t="shared" si="62"/>
        <v>45.035023974802975</v>
      </c>
      <c r="AQ64" s="16">
        <f t="shared" si="63"/>
        <v>1.9908857382477736</v>
      </c>
      <c r="AR64" s="16">
        <f t="shared" si="64"/>
        <v>1.0086968341406117</v>
      </c>
      <c r="AS64" s="16">
        <f t="shared" si="65"/>
        <v>324.03559951247445</v>
      </c>
      <c r="AT64" s="16">
        <f t="shared" si="66"/>
        <v>247.89255142441837</v>
      </c>
    </row>
    <row r="65" spans="1:46" ht="12.75">
      <c r="A65" s="10" t="s">
        <v>99</v>
      </c>
      <c r="C65" s="3">
        <v>7.7</v>
      </c>
      <c r="D65" s="1">
        <v>2</v>
      </c>
      <c r="E65" s="1">
        <v>0.5</v>
      </c>
      <c r="F65" s="1">
        <f t="shared" si="28"/>
        <v>5.1</v>
      </c>
      <c r="G65" s="1">
        <f t="shared" si="36"/>
        <v>102</v>
      </c>
      <c r="J65" s="1">
        <v>2.5</v>
      </c>
      <c r="K65" s="1">
        <v>0</v>
      </c>
      <c r="L65" s="1">
        <v>0</v>
      </c>
      <c r="M65" s="1">
        <v>0.5</v>
      </c>
      <c r="N65" s="1">
        <f t="shared" si="37"/>
        <v>336.58488793193766</v>
      </c>
      <c r="O65" s="1">
        <f t="shared" si="38"/>
        <v>0.8336971161271726</v>
      </c>
      <c r="P65" s="1">
        <f t="shared" si="32"/>
        <v>337.4324800000003</v>
      </c>
      <c r="Q65" s="3">
        <f t="shared" si="33"/>
        <v>5.531680000000005</v>
      </c>
      <c r="R65" s="5">
        <f t="shared" si="39"/>
        <v>354.28778993440017</v>
      </c>
      <c r="S65" s="4">
        <f t="shared" si="40"/>
        <v>0.08658008658008658</v>
      </c>
      <c r="T65" s="4">
        <f t="shared" si="41"/>
        <v>0.01278772378516624</v>
      </c>
      <c r="U65" s="4">
        <f t="shared" si="42"/>
        <v>0.41975308641975306</v>
      </c>
      <c r="V65" s="4">
        <f t="shared" si="43"/>
        <v>5.089820359281437</v>
      </c>
      <c r="W65" s="4">
        <f t="shared" si="44"/>
        <v>0</v>
      </c>
      <c r="X65" s="4">
        <f t="shared" si="45"/>
        <v>0</v>
      </c>
      <c r="Y65" s="4">
        <f t="shared" si="46"/>
        <v>0.07042253521126761</v>
      </c>
      <c r="Z65" s="4">
        <f t="shared" si="47"/>
        <v>0</v>
      </c>
      <c r="AA65" s="4">
        <f t="shared" si="48"/>
        <v>0</v>
      </c>
      <c r="AB65" s="4">
        <f t="shared" si="49"/>
        <v>0.010416666666666666</v>
      </c>
      <c r="AC65" s="4">
        <f t="shared" si="50"/>
        <v>5.517785048064551</v>
      </c>
      <c r="AD65" s="4">
        <f t="shared" si="51"/>
        <v>0.013894951935452876</v>
      </c>
      <c r="AE65" s="1">
        <f t="shared" si="52"/>
        <v>5.6089412560664424</v>
      </c>
      <c r="AF65" s="1">
        <f t="shared" si="53"/>
        <v>5.612519201877938</v>
      </c>
      <c r="AG65" s="1">
        <f t="shared" si="54"/>
        <v>-0.0035779458114957308</v>
      </c>
      <c r="AH65" s="5">
        <f t="shared" si="55"/>
        <v>-0.031884849792102384</v>
      </c>
      <c r="AI65" s="1">
        <f t="shared" si="56"/>
        <v>11.221460457944382</v>
      </c>
      <c r="AJ65" s="7">
        <f t="shared" si="57"/>
        <v>540.6741451784737</v>
      </c>
      <c r="AK65" s="7">
        <f t="shared" si="1"/>
        <v>5.50957344570119</v>
      </c>
      <c r="AL65" s="2">
        <f t="shared" si="58"/>
        <v>513.8653341661721</v>
      </c>
      <c r="AM65" s="16">
        <f t="shared" si="59"/>
        <v>0.466786936024155</v>
      </c>
      <c r="AN65" s="16">
        <f t="shared" si="60"/>
        <v>103.93378672167582</v>
      </c>
      <c r="AO65" s="16">
        <f t="shared" si="61"/>
        <v>58.907866069134755</v>
      </c>
      <c r="AP65" s="16">
        <f t="shared" si="62"/>
        <v>45.02592065254106</v>
      </c>
      <c r="AQ65" s="16">
        <f t="shared" si="63"/>
        <v>1.9910628520957518</v>
      </c>
      <c r="AR65" s="16">
        <f t="shared" si="64"/>
        <v>1.0086259883882942</v>
      </c>
      <c r="AS65" s="16">
        <f t="shared" si="65"/>
        <v>330.41076030200645</v>
      </c>
      <c r="AT65" s="16">
        <f t="shared" si="66"/>
        <v>252.70884424461914</v>
      </c>
    </row>
    <row r="66" spans="1:46" ht="12.75">
      <c r="A66" s="10" t="s">
        <v>100</v>
      </c>
      <c r="C66" s="3">
        <v>7.7</v>
      </c>
      <c r="D66" s="1">
        <v>2</v>
      </c>
      <c r="E66" s="1">
        <v>0.5</v>
      </c>
      <c r="F66" s="1">
        <f t="shared" si="28"/>
        <v>5.2</v>
      </c>
      <c r="G66" s="1">
        <f t="shared" si="36"/>
        <v>104</v>
      </c>
      <c r="J66" s="1">
        <v>2.5</v>
      </c>
      <c r="K66" s="1">
        <v>0</v>
      </c>
      <c r="L66" s="1">
        <v>0</v>
      </c>
      <c r="M66" s="1">
        <v>0.5</v>
      </c>
      <c r="N66" s="1">
        <f t="shared" si="37"/>
        <v>343.1612073661211</v>
      </c>
      <c r="O66" s="1">
        <f t="shared" si="38"/>
        <v>0.8499861972582259</v>
      </c>
      <c r="P66" s="1">
        <f t="shared" si="32"/>
        <v>344.0253600000003</v>
      </c>
      <c r="Q66" s="3">
        <f t="shared" si="33"/>
        <v>5.639760000000005</v>
      </c>
      <c r="R66" s="5">
        <f t="shared" si="39"/>
        <v>361.2099951841814</v>
      </c>
      <c r="S66" s="4">
        <f t="shared" si="40"/>
        <v>0.08658008658008658</v>
      </c>
      <c r="T66" s="4">
        <f t="shared" si="41"/>
        <v>0.01278772378516624</v>
      </c>
      <c r="U66" s="4">
        <f t="shared" si="42"/>
        <v>0.4279835390946502</v>
      </c>
      <c r="V66" s="4">
        <f t="shared" si="43"/>
        <v>5.189620758483034</v>
      </c>
      <c r="W66" s="4">
        <f t="shared" si="44"/>
        <v>0</v>
      </c>
      <c r="X66" s="4">
        <f t="shared" si="45"/>
        <v>0</v>
      </c>
      <c r="Y66" s="4">
        <f t="shared" si="46"/>
        <v>0.07042253521126761</v>
      </c>
      <c r="Z66" s="4">
        <f t="shared" si="47"/>
        <v>0</v>
      </c>
      <c r="AA66" s="4">
        <f t="shared" si="48"/>
        <v>0</v>
      </c>
      <c r="AB66" s="4">
        <f t="shared" si="49"/>
        <v>0.010416666666666666</v>
      </c>
      <c r="AC66" s="4">
        <f t="shared" si="50"/>
        <v>5.625593563379034</v>
      </c>
      <c r="AD66" s="4">
        <f t="shared" si="51"/>
        <v>0.01416643662097043</v>
      </c>
      <c r="AE66" s="1">
        <f t="shared" si="52"/>
        <v>5.716972107942937</v>
      </c>
      <c r="AF66" s="1">
        <f t="shared" si="53"/>
        <v>5.720599201877939</v>
      </c>
      <c r="AG66" s="1">
        <f t="shared" si="54"/>
        <v>-0.003627093935001824</v>
      </c>
      <c r="AH66" s="5">
        <f t="shared" si="55"/>
        <v>-0.03171209898282704</v>
      </c>
      <c r="AI66" s="1">
        <f t="shared" si="56"/>
        <v>11.437571309820877</v>
      </c>
      <c r="AJ66" s="7">
        <f t="shared" si="57"/>
        <v>551.0370303798754</v>
      </c>
      <c r="AK66" s="7">
        <f t="shared" si="1"/>
        <v>5.617604297577684</v>
      </c>
      <c r="AL66" s="2">
        <f t="shared" si="58"/>
        <v>523.0449021149669</v>
      </c>
      <c r="AM66" s="16">
        <f t="shared" si="59"/>
        <v>0.46678588852579583</v>
      </c>
      <c r="AN66" s="16">
        <f t="shared" si="60"/>
        <v>103.9270028723967</v>
      </c>
      <c r="AO66" s="16">
        <f t="shared" si="61"/>
        <v>58.909841561693355</v>
      </c>
      <c r="AP66" s="16">
        <f t="shared" si="62"/>
        <v>45.017161310703344</v>
      </c>
      <c r="AQ66" s="16">
        <f t="shared" si="63"/>
        <v>1.9912332135926267</v>
      </c>
      <c r="AR66" s="16">
        <f t="shared" si="64"/>
        <v>1.0085578148723093</v>
      </c>
      <c r="AS66" s="16">
        <f t="shared" si="65"/>
        <v>336.7859210915385</v>
      </c>
      <c r="AT66" s="16">
        <f t="shared" si="66"/>
        <v>257.52513706482</v>
      </c>
    </row>
    <row r="67" spans="1:46" ht="12.75">
      <c r="A67" s="10" t="s">
        <v>101</v>
      </c>
      <c r="C67" s="3">
        <v>7.7</v>
      </c>
      <c r="D67" s="1">
        <v>2</v>
      </c>
      <c r="E67" s="1">
        <v>0.5</v>
      </c>
      <c r="F67" s="1">
        <f t="shared" si="28"/>
        <v>5.3</v>
      </c>
      <c r="G67" s="1">
        <f t="shared" si="36"/>
        <v>106</v>
      </c>
      <c r="J67" s="1">
        <v>2.5</v>
      </c>
      <c r="K67" s="1">
        <v>0</v>
      </c>
      <c r="L67" s="1">
        <v>0</v>
      </c>
      <c r="M67" s="1">
        <v>0.5</v>
      </c>
      <c r="N67" s="1">
        <f t="shared" si="37"/>
        <v>349.7375268003046</v>
      </c>
      <c r="O67" s="1">
        <f t="shared" si="38"/>
        <v>0.8662752783892791</v>
      </c>
      <c r="P67" s="1">
        <f t="shared" si="32"/>
        <v>350.61824000000036</v>
      </c>
      <c r="Q67" s="3">
        <f t="shared" si="33"/>
        <v>5.747840000000005</v>
      </c>
      <c r="R67" s="5">
        <f t="shared" si="39"/>
        <v>368.13220043396274</v>
      </c>
      <c r="S67" s="4">
        <f t="shared" si="40"/>
        <v>0.08658008658008658</v>
      </c>
      <c r="T67" s="4">
        <f t="shared" si="41"/>
        <v>0.01278772378516624</v>
      </c>
      <c r="U67" s="4">
        <f t="shared" si="42"/>
        <v>0.4362139917695473</v>
      </c>
      <c r="V67" s="4">
        <f t="shared" si="43"/>
        <v>5.289421157684631</v>
      </c>
      <c r="W67" s="4">
        <f t="shared" si="44"/>
        <v>0</v>
      </c>
      <c r="X67" s="4">
        <f t="shared" si="45"/>
        <v>0</v>
      </c>
      <c r="Y67" s="4">
        <f t="shared" si="46"/>
        <v>0.07042253521126761</v>
      </c>
      <c r="Z67" s="4">
        <f t="shared" si="47"/>
        <v>0</v>
      </c>
      <c r="AA67" s="4">
        <f t="shared" si="48"/>
        <v>0</v>
      </c>
      <c r="AB67" s="4">
        <f t="shared" si="49"/>
        <v>0.010416666666666666</v>
      </c>
      <c r="AC67" s="4">
        <f t="shared" si="50"/>
        <v>5.733402078693517</v>
      </c>
      <c r="AD67" s="4">
        <f t="shared" si="51"/>
        <v>0.014437921306487985</v>
      </c>
      <c r="AE67" s="1">
        <f t="shared" si="52"/>
        <v>5.825002959819431</v>
      </c>
      <c r="AF67" s="1">
        <f t="shared" si="53"/>
        <v>5.828679201877939</v>
      </c>
      <c r="AG67" s="1">
        <f t="shared" si="54"/>
        <v>-0.003676242058508805</v>
      </c>
      <c r="AH67" s="5">
        <f t="shared" si="55"/>
        <v>-0.031545755302917554</v>
      </c>
      <c r="AI67" s="1">
        <f t="shared" si="56"/>
        <v>11.65368216169737</v>
      </c>
      <c r="AJ67" s="7">
        <f t="shared" si="57"/>
        <v>561.399915581277</v>
      </c>
      <c r="AK67" s="7">
        <f t="shared" si="1"/>
        <v>5.7256351494541775</v>
      </c>
      <c r="AL67" s="2">
        <f t="shared" si="58"/>
        <v>532.2053590035539</v>
      </c>
      <c r="AM67" s="16">
        <f t="shared" si="59"/>
        <v>0.4667848885472597</v>
      </c>
      <c r="AN67" s="16">
        <f t="shared" si="60"/>
        <v>103.92047059326163</v>
      </c>
      <c r="AO67" s="16">
        <f t="shared" si="61"/>
        <v>58.91174377904663</v>
      </c>
      <c r="AP67" s="16">
        <f t="shared" si="62"/>
        <v>45.00872681421499</v>
      </c>
      <c r="AQ67" s="16">
        <f t="shared" si="63"/>
        <v>1.9913972016588875</v>
      </c>
      <c r="AR67" s="16">
        <f t="shared" si="64"/>
        <v>1.0084921651998482</v>
      </c>
      <c r="AS67" s="16">
        <f t="shared" si="65"/>
        <v>343.1610818810706</v>
      </c>
      <c r="AT67" s="16">
        <f t="shared" si="66"/>
        <v>262.34142988502083</v>
      </c>
    </row>
    <row r="68" spans="1:46" ht="12.75">
      <c r="A68" s="10" t="s">
        <v>102</v>
      </c>
      <c r="C68" s="3">
        <v>7.7</v>
      </c>
      <c r="D68" s="1">
        <v>2</v>
      </c>
      <c r="E68" s="1">
        <v>0.5</v>
      </c>
      <c r="F68" s="1">
        <f t="shared" si="28"/>
        <v>5.4</v>
      </c>
      <c r="G68" s="1">
        <f t="shared" si="36"/>
        <v>108</v>
      </c>
      <c r="J68" s="1">
        <v>2.5</v>
      </c>
      <c r="K68" s="1">
        <v>0</v>
      </c>
      <c r="L68" s="1">
        <v>0</v>
      </c>
      <c r="M68" s="1">
        <v>0.5</v>
      </c>
      <c r="N68" s="1">
        <f t="shared" si="37"/>
        <v>356.313846234488</v>
      </c>
      <c r="O68" s="1">
        <f t="shared" si="38"/>
        <v>0.8825643595203325</v>
      </c>
      <c r="P68" s="1">
        <f t="shared" si="32"/>
        <v>357.21112000000034</v>
      </c>
      <c r="Q68" s="3">
        <f t="shared" si="33"/>
        <v>5.855920000000006</v>
      </c>
      <c r="R68" s="5">
        <f t="shared" si="39"/>
        <v>375.054405683744</v>
      </c>
      <c r="S68" s="4">
        <f t="shared" si="40"/>
        <v>0.08658008658008658</v>
      </c>
      <c r="T68" s="4">
        <f t="shared" si="41"/>
        <v>0.01278772378516624</v>
      </c>
      <c r="U68" s="4">
        <f t="shared" si="42"/>
        <v>0.4444444444444445</v>
      </c>
      <c r="V68" s="4">
        <f t="shared" si="43"/>
        <v>5.389221556886228</v>
      </c>
      <c r="W68" s="4">
        <f t="shared" si="44"/>
        <v>0</v>
      </c>
      <c r="X68" s="4">
        <f t="shared" si="45"/>
        <v>0</v>
      </c>
      <c r="Y68" s="4">
        <f t="shared" si="46"/>
        <v>0.07042253521126761</v>
      </c>
      <c r="Z68" s="4">
        <f t="shared" si="47"/>
        <v>0</v>
      </c>
      <c r="AA68" s="4">
        <f t="shared" si="48"/>
        <v>0</v>
      </c>
      <c r="AB68" s="4">
        <f t="shared" si="49"/>
        <v>0.010416666666666666</v>
      </c>
      <c r="AC68" s="4">
        <f t="shared" si="50"/>
        <v>5.8412105940079995</v>
      </c>
      <c r="AD68" s="4">
        <f t="shared" si="51"/>
        <v>0.014709405992005542</v>
      </c>
      <c r="AE68" s="1">
        <f t="shared" si="52"/>
        <v>5.933033811695925</v>
      </c>
      <c r="AF68" s="1">
        <f t="shared" si="53"/>
        <v>5.936759201877939</v>
      </c>
      <c r="AG68" s="1">
        <f t="shared" si="54"/>
        <v>-0.00372539018201401</v>
      </c>
      <c r="AH68" s="5">
        <f t="shared" si="55"/>
        <v>-0.0313854687925374</v>
      </c>
      <c r="AI68" s="1">
        <f t="shared" si="56"/>
        <v>11.869793013573863</v>
      </c>
      <c r="AJ68" s="7">
        <f t="shared" si="57"/>
        <v>571.7628007826787</v>
      </c>
      <c r="AK68" s="7">
        <f t="shared" si="1"/>
        <v>5.8336660013306725</v>
      </c>
      <c r="AL68" s="2">
        <f t="shared" si="58"/>
        <v>541.3468829743915</v>
      </c>
      <c r="AM68" s="16">
        <f t="shared" si="59"/>
        <v>0.4667839330284955</v>
      </c>
      <c r="AN68" s="16">
        <f t="shared" si="60"/>
        <v>103.91417614529394</v>
      </c>
      <c r="AO68" s="16">
        <f t="shared" si="61"/>
        <v>58.91357672385987</v>
      </c>
      <c r="AP68" s="16">
        <f t="shared" si="62"/>
        <v>45.00059942143406</v>
      </c>
      <c r="AQ68" s="16">
        <f t="shared" si="63"/>
        <v>1.9915551673838703</v>
      </c>
      <c r="AR68" s="16">
        <f t="shared" si="64"/>
        <v>1.0084289017656833</v>
      </c>
      <c r="AS68" s="16">
        <f t="shared" si="65"/>
        <v>349.53624267060263</v>
      </c>
      <c r="AT68" s="16">
        <f t="shared" si="66"/>
        <v>267.1577227052217</v>
      </c>
    </row>
    <row r="69" spans="1:46" ht="12.75">
      <c r="A69" s="10" t="s">
        <v>103</v>
      </c>
      <c r="C69" s="3">
        <v>7.7</v>
      </c>
      <c r="D69" s="1">
        <v>2</v>
      </c>
      <c r="E69" s="1">
        <v>0.5</v>
      </c>
      <c r="F69" s="1">
        <f t="shared" si="28"/>
        <v>5.5</v>
      </c>
      <c r="G69" s="1">
        <f t="shared" si="36"/>
        <v>110</v>
      </c>
      <c r="J69" s="1">
        <v>2.5</v>
      </c>
      <c r="K69" s="1">
        <v>0</v>
      </c>
      <c r="L69" s="1">
        <v>0</v>
      </c>
      <c r="M69" s="1">
        <v>0.5</v>
      </c>
      <c r="N69" s="1">
        <f t="shared" si="37"/>
        <v>362.89016566867144</v>
      </c>
      <c r="O69" s="1">
        <f t="shared" si="38"/>
        <v>0.8988534406513858</v>
      </c>
      <c r="P69" s="1">
        <f t="shared" si="32"/>
        <v>363.80400000000037</v>
      </c>
      <c r="Q69" s="3">
        <f t="shared" si="33"/>
        <v>5.964000000000006</v>
      </c>
      <c r="R69" s="5">
        <f t="shared" si="39"/>
        <v>381.97661093352525</v>
      </c>
      <c r="S69" s="4">
        <f t="shared" si="40"/>
        <v>0.08658008658008658</v>
      </c>
      <c r="T69" s="4">
        <f t="shared" si="41"/>
        <v>0.01278772378516624</v>
      </c>
      <c r="U69" s="4">
        <f t="shared" si="42"/>
        <v>0.45267489711934156</v>
      </c>
      <c r="V69" s="4">
        <f t="shared" si="43"/>
        <v>5.489021956087824</v>
      </c>
      <c r="W69" s="4">
        <f t="shared" si="44"/>
        <v>0</v>
      </c>
      <c r="X69" s="4">
        <f t="shared" si="45"/>
        <v>0</v>
      </c>
      <c r="Y69" s="4">
        <f t="shared" si="46"/>
        <v>0.07042253521126761</v>
      </c>
      <c r="Z69" s="4">
        <f t="shared" si="47"/>
        <v>0</v>
      </c>
      <c r="AA69" s="4">
        <f t="shared" si="48"/>
        <v>0</v>
      </c>
      <c r="AB69" s="4">
        <f t="shared" si="49"/>
        <v>0.010416666666666666</v>
      </c>
      <c r="AC69" s="4">
        <f t="shared" si="50"/>
        <v>5.9490191093224825</v>
      </c>
      <c r="AD69" s="4">
        <f t="shared" si="51"/>
        <v>0.014980890677523097</v>
      </c>
      <c r="AE69" s="1">
        <f t="shared" si="52"/>
        <v>6.041064663572419</v>
      </c>
      <c r="AF69" s="1">
        <f t="shared" si="53"/>
        <v>6.04483920187794</v>
      </c>
      <c r="AG69" s="1">
        <f t="shared" si="54"/>
        <v>-0.0037745383055209913</v>
      </c>
      <c r="AH69" s="5">
        <f t="shared" si="55"/>
        <v>-0.031230914522753738</v>
      </c>
      <c r="AI69" s="1">
        <f t="shared" si="56"/>
        <v>12.085903865450359</v>
      </c>
      <c r="AJ69" s="7">
        <f t="shared" si="57"/>
        <v>582.1256859840804</v>
      </c>
      <c r="AK69" s="7">
        <f t="shared" si="1"/>
        <v>5.941696853207166</v>
      </c>
      <c r="AL69" s="2">
        <f t="shared" si="58"/>
        <v>550.4696472797893</v>
      </c>
      <c r="AM69" s="16">
        <f t="shared" si="59"/>
        <v>0.4667830191609253</v>
      </c>
      <c r="AN69" s="16">
        <f t="shared" si="60"/>
        <v>103.90810677206426</v>
      </c>
      <c r="AO69" s="16">
        <f t="shared" si="61"/>
        <v>58.915344112483695</v>
      </c>
      <c r="AP69" s="16">
        <f t="shared" si="62"/>
        <v>44.99276265958056</v>
      </c>
      <c r="AQ69" s="16">
        <f t="shared" si="63"/>
        <v>1.991707436534883</v>
      </c>
      <c r="AR69" s="16">
        <f t="shared" si="64"/>
        <v>1.0083678967893976</v>
      </c>
      <c r="AS69" s="16">
        <f t="shared" si="65"/>
        <v>355.9114034601346</v>
      </c>
      <c r="AT69" s="16">
        <f t="shared" si="66"/>
        <v>271.97401552542254</v>
      </c>
    </row>
    <row r="70" spans="1:46" ht="12.75">
      <c r="A70" s="10" t="s">
        <v>104</v>
      </c>
      <c r="C70" s="3">
        <v>7.7</v>
      </c>
      <c r="D70" s="1">
        <v>2</v>
      </c>
      <c r="E70" s="1">
        <v>0.5</v>
      </c>
      <c r="F70" s="1">
        <f t="shared" si="28"/>
        <v>5.6</v>
      </c>
      <c r="G70" s="1">
        <f t="shared" si="36"/>
        <v>112</v>
      </c>
      <c r="J70" s="1">
        <v>2.5</v>
      </c>
      <c r="K70" s="1">
        <v>0</v>
      </c>
      <c r="L70" s="1">
        <v>0</v>
      </c>
      <c r="M70" s="1">
        <v>0.5</v>
      </c>
      <c r="N70" s="1">
        <f t="shared" si="37"/>
        <v>369.46648510285485</v>
      </c>
      <c r="O70" s="1">
        <f t="shared" si="38"/>
        <v>0.9151425217824392</v>
      </c>
      <c r="P70" s="1">
        <f t="shared" si="32"/>
        <v>370.39688000000035</v>
      </c>
      <c r="Q70" s="3">
        <f t="shared" si="33"/>
        <v>6.072080000000006</v>
      </c>
      <c r="R70" s="5">
        <f t="shared" si="39"/>
        <v>388.8988161833065</v>
      </c>
      <c r="S70" s="4">
        <f t="shared" si="40"/>
        <v>0.08658008658008658</v>
      </c>
      <c r="T70" s="4">
        <f t="shared" si="41"/>
        <v>0.01278772378516624</v>
      </c>
      <c r="U70" s="4">
        <f t="shared" si="42"/>
        <v>0.46090534979423864</v>
      </c>
      <c r="V70" s="4">
        <f t="shared" si="43"/>
        <v>5.588822355289421</v>
      </c>
      <c r="W70" s="4">
        <f t="shared" si="44"/>
        <v>0</v>
      </c>
      <c r="X70" s="4">
        <f t="shared" si="45"/>
        <v>0</v>
      </c>
      <c r="Y70" s="4">
        <f t="shared" si="46"/>
        <v>0.07042253521126761</v>
      </c>
      <c r="Z70" s="4">
        <f t="shared" si="47"/>
        <v>0</v>
      </c>
      <c r="AA70" s="4">
        <f t="shared" si="48"/>
        <v>0</v>
      </c>
      <c r="AB70" s="4">
        <f t="shared" si="49"/>
        <v>0.010416666666666666</v>
      </c>
      <c r="AC70" s="4">
        <f t="shared" si="50"/>
        <v>6.056827624636965</v>
      </c>
      <c r="AD70" s="4">
        <f t="shared" si="51"/>
        <v>0.015252375363040653</v>
      </c>
      <c r="AE70" s="1">
        <f t="shared" si="52"/>
        <v>6.149095515448913</v>
      </c>
      <c r="AF70" s="1">
        <f t="shared" si="53"/>
        <v>6.152919201877939</v>
      </c>
      <c r="AG70" s="1">
        <f t="shared" si="54"/>
        <v>-0.0038236864290261963</v>
      </c>
      <c r="AH70" s="5">
        <f t="shared" si="55"/>
        <v>-0.031081790396825817</v>
      </c>
      <c r="AI70" s="1">
        <f t="shared" si="56"/>
        <v>12.302014717326852</v>
      </c>
      <c r="AJ70" s="7">
        <f t="shared" si="57"/>
        <v>592.488571185482</v>
      </c>
      <c r="AK70" s="7">
        <f t="shared" si="1"/>
        <v>6.04972770508366</v>
      </c>
      <c r="AL70" s="2">
        <f t="shared" si="58"/>
        <v>559.5738205016036</v>
      </c>
      <c r="AM70" s="16">
        <f t="shared" si="59"/>
        <v>0.4667821443625452</v>
      </c>
      <c r="AN70" s="16">
        <f t="shared" si="60"/>
        <v>103.90225061339947</v>
      </c>
      <c r="AO70" s="16">
        <f t="shared" si="61"/>
        <v>58.91704940010484</v>
      </c>
      <c r="AP70" s="16">
        <f t="shared" si="62"/>
        <v>44.98520121329464</v>
      </c>
      <c r="AQ70" s="16">
        <f t="shared" si="63"/>
        <v>1.9918543117996825</v>
      </c>
      <c r="AR70" s="16">
        <f t="shared" si="64"/>
        <v>1.0083090314539145</v>
      </c>
      <c r="AS70" s="16">
        <f t="shared" si="65"/>
        <v>362.2865642496667</v>
      </c>
      <c r="AT70" s="16">
        <f t="shared" si="66"/>
        <v>276.7903083456233</v>
      </c>
    </row>
    <row r="71" spans="1:46" ht="12.75">
      <c r="A71" s="10" t="s">
        <v>105</v>
      </c>
      <c r="C71" s="3">
        <v>7.7</v>
      </c>
      <c r="D71" s="1">
        <v>2</v>
      </c>
      <c r="E71" s="1">
        <v>0.5</v>
      </c>
      <c r="F71" s="1">
        <f t="shared" si="28"/>
        <v>5.7</v>
      </c>
      <c r="G71" s="1">
        <f t="shared" si="36"/>
        <v>114</v>
      </c>
      <c r="J71" s="1">
        <v>2.5</v>
      </c>
      <c r="K71" s="1">
        <v>0</v>
      </c>
      <c r="L71" s="1">
        <v>0</v>
      </c>
      <c r="M71" s="1">
        <v>0.5</v>
      </c>
      <c r="N71" s="1">
        <f t="shared" si="37"/>
        <v>376.04280453703836</v>
      </c>
      <c r="O71" s="1">
        <f t="shared" si="38"/>
        <v>0.9314316029134924</v>
      </c>
      <c r="P71" s="1">
        <f t="shared" si="32"/>
        <v>376.9897600000004</v>
      </c>
      <c r="Q71" s="3">
        <f t="shared" si="33"/>
        <v>6.180160000000006</v>
      </c>
      <c r="R71" s="5">
        <f t="shared" si="39"/>
        <v>395.8210214330878</v>
      </c>
      <c r="S71" s="4">
        <f t="shared" si="40"/>
        <v>0.08658008658008658</v>
      </c>
      <c r="T71" s="4">
        <f t="shared" si="41"/>
        <v>0.01278772378516624</v>
      </c>
      <c r="U71" s="4">
        <f t="shared" si="42"/>
        <v>0.4691358024691358</v>
      </c>
      <c r="V71" s="4">
        <f t="shared" si="43"/>
        <v>5.688622754491019</v>
      </c>
      <c r="W71" s="4">
        <f t="shared" si="44"/>
        <v>0</v>
      </c>
      <c r="X71" s="4">
        <f t="shared" si="45"/>
        <v>0</v>
      </c>
      <c r="Y71" s="4">
        <f t="shared" si="46"/>
        <v>0.07042253521126761</v>
      </c>
      <c r="Z71" s="4">
        <f t="shared" si="47"/>
        <v>0</v>
      </c>
      <c r="AA71" s="4">
        <f t="shared" si="48"/>
        <v>0</v>
      </c>
      <c r="AB71" s="4">
        <f t="shared" si="49"/>
        <v>0.010416666666666666</v>
      </c>
      <c r="AC71" s="4">
        <f t="shared" si="50"/>
        <v>6.164636139951448</v>
      </c>
      <c r="AD71" s="4">
        <f t="shared" si="51"/>
        <v>0.015523860048558207</v>
      </c>
      <c r="AE71" s="1">
        <f t="shared" si="52"/>
        <v>6.257126367325407</v>
      </c>
      <c r="AF71" s="1">
        <f t="shared" si="53"/>
        <v>6.260999201877941</v>
      </c>
      <c r="AG71" s="1">
        <f t="shared" si="54"/>
        <v>-0.0038728345525340657</v>
      </c>
      <c r="AH71" s="5">
        <f t="shared" si="55"/>
        <v>-0.03093781517946966</v>
      </c>
      <c r="AI71" s="1">
        <f t="shared" si="56"/>
        <v>12.518125569203349</v>
      </c>
      <c r="AJ71" s="7">
        <f t="shared" si="57"/>
        <v>602.8514563868837</v>
      </c>
      <c r="AK71" s="7">
        <f t="shared" si="1"/>
        <v>6.157758556960155</v>
      </c>
      <c r="AL71" s="2">
        <f t="shared" si="58"/>
        <v>568.6595667573584</v>
      </c>
      <c r="AM71" s="16">
        <f t="shared" si="59"/>
        <v>0.4667813062558905</v>
      </c>
      <c r="AN71" s="16">
        <f t="shared" si="60"/>
        <v>103.8965966280284</v>
      </c>
      <c r="AO71" s="16">
        <f t="shared" si="61"/>
        <v>58.91869580329129</v>
      </c>
      <c r="AP71" s="16">
        <f t="shared" si="62"/>
        <v>44.97790082473711</v>
      </c>
      <c r="AQ71" s="16">
        <f t="shared" si="63"/>
        <v>1.9919960747947913</v>
      </c>
      <c r="AR71" s="16">
        <f t="shared" si="64"/>
        <v>1.0082521951331096</v>
      </c>
      <c r="AS71" s="16">
        <f t="shared" si="65"/>
        <v>368.66172503919876</v>
      </c>
      <c r="AT71" s="16">
        <f t="shared" si="66"/>
        <v>281.60660116582426</v>
      </c>
    </row>
    <row r="72" spans="1:46" ht="12.75">
      <c r="A72" s="10" t="s">
        <v>106</v>
      </c>
      <c r="C72" s="3">
        <v>7.7</v>
      </c>
      <c r="D72" s="1">
        <v>2</v>
      </c>
      <c r="E72" s="1">
        <v>0.5</v>
      </c>
      <c r="F72" s="1">
        <f t="shared" si="28"/>
        <v>5.8</v>
      </c>
      <c r="G72" s="1">
        <f t="shared" si="36"/>
        <v>116</v>
      </c>
      <c r="J72" s="1">
        <v>2.5</v>
      </c>
      <c r="K72" s="1">
        <v>0</v>
      </c>
      <c r="L72" s="1">
        <v>0</v>
      </c>
      <c r="M72" s="1">
        <v>0.5</v>
      </c>
      <c r="N72" s="1">
        <f t="shared" si="37"/>
        <v>382.61912397122177</v>
      </c>
      <c r="O72" s="1">
        <f t="shared" si="38"/>
        <v>0.9477206840445458</v>
      </c>
      <c r="P72" s="1">
        <f t="shared" si="32"/>
        <v>383.58264000000037</v>
      </c>
      <c r="Q72" s="3">
        <f t="shared" si="33"/>
        <v>6.288240000000006</v>
      </c>
      <c r="R72" s="5">
        <f t="shared" si="39"/>
        <v>402.7432266828691</v>
      </c>
      <c r="S72" s="4">
        <f t="shared" si="40"/>
        <v>0.08658008658008658</v>
      </c>
      <c r="T72" s="4">
        <f t="shared" si="41"/>
        <v>0.01278772378516624</v>
      </c>
      <c r="U72" s="4">
        <f t="shared" si="42"/>
        <v>0.4773662551440329</v>
      </c>
      <c r="V72" s="4">
        <f t="shared" si="43"/>
        <v>5.788423153692615</v>
      </c>
      <c r="W72" s="4">
        <f t="shared" si="44"/>
        <v>0</v>
      </c>
      <c r="X72" s="4">
        <f t="shared" si="45"/>
        <v>0</v>
      </c>
      <c r="Y72" s="4">
        <f t="shared" si="46"/>
        <v>0.07042253521126761</v>
      </c>
      <c r="Z72" s="4">
        <f t="shared" si="47"/>
        <v>0</v>
      </c>
      <c r="AA72" s="4">
        <f t="shared" si="48"/>
        <v>0</v>
      </c>
      <c r="AB72" s="4">
        <f t="shared" si="49"/>
        <v>0.010416666666666666</v>
      </c>
      <c r="AC72" s="4">
        <f t="shared" si="50"/>
        <v>6.2724446552659305</v>
      </c>
      <c r="AD72" s="4">
        <f t="shared" si="51"/>
        <v>0.015795344734075765</v>
      </c>
      <c r="AE72" s="1">
        <f t="shared" si="52"/>
        <v>6.365157219201901</v>
      </c>
      <c r="AF72" s="1">
        <f t="shared" si="53"/>
        <v>6.36907920187794</v>
      </c>
      <c r="AG72" s="1">
        <f t="shared" si="54"/>
        <v>-0.003921982676039271</v>
      </c>
      <c r="AH72" s="5">
        <f t="shared" si="55"/>
        <v>-0.030798726726534994</v>
      </c>
      <c r="AI72" s="1">
        <f t="shared" si="56"/>
        <v>12.734236421079842</v>
      </c>
      <c r="AJ72" s="7">
        <f t="shared" si="57"/>
        <v>613.2143415882854</v>
      </c>
      <c r="AK72" s="7">
        <f t="shared" si="1"/>
        <v>6.265789408836648</v>
      </c>
      <c r="AL72" s="2">
        <f t="shared" si="58"/>
        <v>577.7270458938555</v>
      </c>
      <c r="AM72" s="16">
        <f t="shared" si="59"/>
        <v>0.4667805026484924</v>
      </c>
      <c r="AN72" s="16">
        <f t="shared" si="60"/>
        <v>103.89113452410353</v>
      </c>
      <c r="AO72" s="16">
        <f t="shared" si="61"/>
        <v>58.9202863202419</v>
      </c>
      <c r="AP72" s="16">
        <f t="shared" si="62"/>
        <v>44.970848203861635</v>
      </c>
      <c r="AQ72" s="16">
        <f t="shared" si="63"/>
        <v>1.9921329878676968</v>
      </c>
      <c r="AR72" s="16">
        <f t="shared" si="64"/>
        <v>1.0081972846979408</v>
      </c>
      <c r="AS72" s="16">
        <f t="shared" si="65"/>
        <v>375.03688582873076</v>
      </c>
      <c r="AT72" s="16">
        <f t="shared" si="66"/>
        <v>286.4228939860251</v>
      </c>
    </row>
    <row r="73" spans="1:46" ht="12.75">
      <c r="A73" s="10" t="s">
        <v>107</v>
      </c>
      <c r="C73" s="3">
        <v>7.7</v>
      </c>
      <c r="D73" s="1">
        <v>2</v>
      </c>
      <c r="E73" s="1">
        <v>0.5</v>
      </c>
      <c r="F73" s="1">
        <f t="shared" si="28"/>
        <v>5.9</v>
      </c>
      <c r="G73" s="1">
        <f t="shared" si="36"/>
        <v>118</v>
      </c>
      <c r="J73" s="1">
        <v>2.5</v>
      </c>
      <c r="K73" s="1">
        <v>0</v>
      </c>
      <c r="L73" s="1">
        <v>0</v>
      </c>
      <c r="M73" s="1">
        <v>0.5</v>
      </c>
      <c r="N73" s="1">
        <f t="shared" si="37"/>
        <v>389.19544340540523</v>
      </c>
      <c r="O73" s="1">
        <f t="shared" si="38"/>
        <v>0.964009765175599</v>
      </c>
      <c r="P73" s="1">
        <f t="shared" si="32"/>
        <v>390.1755200000004</v>
      </c>
      <c r="Q73" s="3">
        <f t="shared" si="33"/>
        <v>6.3963200000000064</v>
      </c>
      <c r="R73" s="5">
        <f t="shared" si="39"/>
        <v>409.66543193265034</v>
      </c>
      <c r="S73" s="4">
        <f t="shared" si="40"/>
        <v>0.08658008658008658</v>
      </c>
      <c r="T73" s="4">
        <f t="shared" si="41"/>
        <v>0.01278772378516624</v>
      </c>
      <c r="U73" s="4">
        <f t="shared" si="42"/>
        <v>0.48559670781893005</v>
      </c>
      <c r="V73" s="4">
        <f t="shared" si="43"/>
        <v>5.888223552894212</v>
      </c>
      <c r="W73" s="4">
        <f t="shared" si="44"/>
        <v>0</v>
      </c>
      <c r="X73" s="4">
        <f t="shared" si="45"/>
        <v>0</v>
      </c>
      <c r="Y73" s="4">
        <f t="shared" si="46"/>
        <v>0.07042253521126761</v>
      </c>
      <c r="Z73" s="4">
        <f t="shared" si="47"/>
        <v>0</v>
      </c>
      <c r="AA73" s="4">
        <f t="shared" si="48"/>
        <v>0</v>
      </c>
      <c r="AB73" s="4">
        <f t="shared" si="49"/>
        <v>0.010416666666666666</v>
      </c>
      <c r="AC73" s="4">
        <f t="shared" si="50"/>
        <v>6.3802531705804135</v>
      </c>
      <c r="AD73" s="4">
        <f t="shared" si="51"/>
        <v>0.016066829419593316</v>
      </c>
      <c r="AE73" s="1">
        <f t="shared" si="52"/>
        <v>6.473188071078395</v>
      </c>
      <c r="AF73" s="1">
        <f t="shared" si="53"/>
        <v>6.4771592018779405</v>
      </c>
      <c r="AG73" s="1">
        <f t="shared" si="54"/>
        <v>-0.003971130799545364</v>
      </c>
      <c r="AH73" s="5">
        <f t="shared" si="55"/>
        <v>-0.030664280392218586</v>
      </c>
      <c r="AI73" s="1">
        <f t="shared" si="56"/>
        <v>12.950347272956336</v>
      </c>
      <c r="AJ73" s="7">
        <f t="shared" si="57"/>
        <v>623.577226789687</v>
      </c>
      <c r="AK73" s="7">
        <f t="shared" si="1"/>
        <v>6.373820260713142</v>
      </c>
      <c r="AL73" s="2">
        <f t="shared" si="58"/>
        <v>586.776413669226</v>
      </c>
      <c r="AM73" s="16">
        <f t="shared" si="59"/>
        <v>0.46677973151550733</v>
      </c>
      <c r="AN73" s="16">
        <f t="shared" si="60"/>
        <v>103.8858546966782</v>
      </c>
      <c r="AO73" s="16">
        <f t="shared" si="61"/>
        <v>58.92182374900809</v>
      </c>
      <c r="AP73" s="16">
        <f t="shared" si="62"/>
        <v>44.9640309476701</v>
      </c>
      <c r="AQ73" s="16">
        <f t="shared" si="63"/>
        <v>1.9922652957171862</v>
      </c>
      <c r="AR73" s="16">
        <f t="shared" si="64"/>
        <v>1.0081442038919357</v>
      </c>
      <c r="AS73" s="16">
        <f t="shared" si="65"/>
        <v>381.4120466182629</v>
      </c>
      <c r="AT73" s="16">
        <f t="shared" si="66"/>
        <v>291.2391868062259</v>
      </c>
    </row>
    <row r="74" spans="1:46" ht="12.75">
      <c r="A74" s="10" t="s">
        <v>108</v>
      </c>
      <c r="C74" s="3">
        <v>7.7</v>
      </c>
      <c r="D74" s="1">
        <v>2</v>
      </c>
      <c r="E74" s="1">
        <v>0.5</v>
      </c>
      <c r="F74" s="1">
        <f t="shared" si="28"/>
        <v>6</v>
      </c>
      <c r="G74" s="1">
        <f t="shared" si="36"/>
        <v>120</v>
      </c>
      <c r="J74" s="1">
        <v>2.5</v>
      </c>
      <c r="K74" s="1">
        <v>0</v>
      </c>
      <c r="L74" s="1">
        <v>0</v>
      </c>
      <c r="M74" s="1">
        <v>0.5</v>
      </c>
      <c r="N74" s="1">
        <f t="shared" si="37"/>
        <v>395.77176283958863</v>
      </c>
      <c r="O74" s="1">
        <f t="shared" si="38"/>
        <v>0.9802988463066523</v>
      </c>
      <c r="P74" s="1">
        <f t="shared" si="32"/>
        <v>396.7684000000004</v>
      </c>
      <c r="Q74" s="3">
        <f t="shared" si="33"/>
        <v>6.504400000000007</v>
      </c>
      <c r="R74" s="5">
        <f t="shared" si="39"/>
        <v>416.58763718243154</v>
      </c>
      <c r="S74" s="4">
        <f t="shared" si="40"/>
        <v>0.08658008658008658</v>
      </c>
      <c r="T74" s="4">
        <f t="shared" si="41"/>
        <v>0.01278772378516624</v>
      </c>
      <c r="U74" s="4">
        <f t="shared" si="42"/>
        <v>0.49382716049382713</v>
      </c>
      <c r="V74" s="4">
        <f t="shared" si="43"/>
        <v>5.9880239520958085</v>
      </c>
      <c r="W74" s="4">
        <f t="shared" si="44"/>
        <v>0</v>
      </c>
      <c r="X74" s="4">
        <f t="shared" si="45"/>
        <v>0</v>
      </c>
      <c r="Y74" s="4">
        <f t="shared" si="46"/>
        <v>0.07042253521126761</v>
      </c>
      <c r="Z74" s="4">
        <f t="shared" si="47"/>
        <v>0</v>
      </c>
      <c r="AA74" s="4">
        <f t="shared" si="48"/>
        <v>0</v>
      </c>
      <c r="AB74" s="4">
        <f t="shared" si="49"/>
        <v>0.010416666666666666</v>
      </c>
      <c r="AC74" s="4">
        <f t="shared" si="50"/>
        <v>6.488061685894896</v>
      </c>
      <c r="AD74" s="4">
        <f t="shared" si="51"/>
        <v>0.01633831410511087</v>
      </c>
      <c r="AE74" s="1">
        <f t="shared" si="52"/>
        <v>6.581218922954888</v>
      </c>
      <c r="AF74" s="1">
        <f t="shared" si="53"/>
        <v>6.585239201877941</v>
      </c>
      <c r="AG74" s="1">
        <f t="shared" si="54"/>
        <v>-0.004020278923052345</v>
      </c>
      <c r="AH74" s="5">
        <f t="shared" si="55"/>
        <v>-0.030534247592902963</v>
      </c>
      <c r="AI74" s="1">
        <f t="shared" si="56"/>
        <v>13.166458124832829</v>
      </c>
      <c r="AJ74" s="7">
        <f t="shared" si="57"/>
        <v>633.9401119910887</v>
      </c>
      <c r="AK74" s="7">
        <f t="shared" si="1"/>
        <v>6.481851112589636</v>
      </c>
      <c r="AL74" s="2">
        <f t="shared" si="58"/>
        <v>595.8078219243055</v>
      </c>
      <c r="AM74" s="16">
        <f t="shared" si="59"/>
        <v>0.4667789909842435</v>
      </c>
      <c r="AN74" s="16">
        <f t="shared" si="60"/>
        <v>103.88074817134043</v>
      </c>
      <c r="AO74" s="16">
        <f t="shared" si="61"/>
        <v>58.923310703920954</v>
      </c>
      <c r="AP74" s="16">
        <f t="shared" si="62"/>
        <v>44.95743746741947</v>
      </c>
      <c r="AQ74" s="16">
        <f t="shared" si="63"/>
        <v>1.992393226852886</v>
      </c>
      <c r="AR74" s="16">
        <f t="shared" si="64"/>
        <v>1.008092862768084</v>
      </c>
      <c r="AS74" s="16">
        <f t="shared" si="65"/>
        <v>387.7872074077949</v>
      </c>
      <c r="AT74" s="16">
        <f t="shared" si="66"/>
        <v>296.0554796264268</v>
      </c>
    </row>
    <row r="75" spans="1:46" ht="12.75">
      <c r="A75" s="10" t="s">
        <v>230</v>
      </c>
      <c r="C75" s="3">
        <v>7.7</v>
      </c>
      <c r="D75" s="1">
        <v>2</v>
      </c>
      <c r="E75" s="1">
        <v>0.5</v>
      </c>
      <c r="F75" s="1">
        <f aca="true" t="shared" si="69" ref="F75:F117">G75/20</f>
        <v>6.1</v>
      </c>
      <c r="G75" s="1">
        <f aca="true" t="shared" si="70" ref="G75:G117">G74+2</f>
        <v>122</v>
      </c>
      <c r="J75" s="1">
        <v>2.5</v>
      </c>
      <c r="K75" s="1">
        <v>0</v>
      </c>
      <c r="L75" s="1">
        <v>0</v>
      </c>
      <c r="M75" s="1">
        <v>0.5</v>
      </c>
      <c r="N75" s="1">
        <f aca="true" t="shared" si="71" ref="N75:N117">Q75*61*(1-10^-10.3/10^-C75)</f>
        <v>402.3480822737721</v>
      </c>
      <c r="O75" s="1">
        <f aca="true" t="shared" si="72" ref="O75:O117">Q75*60*10^-10.3/10^-C75</f>
        <v>0.9965879274377055</v>
      </c>
      <c r="P75" s="1">
        <f aca="true" t="shared" si="73" ref="P75:P117">Q75*61</f>
        <v>403.3612800000004</v>
      </c>
      <c r="Q75" s="3">
        <f aca="true" t="shared" si="74" ref="Q75:Q117">Q74+0.193*$Q$19</f>
        <v>6.612480000000007</v>
      </c>
      <c r="R75" s="5">
        <f aca="true" t="shared" si="75" ref="R75:R117">(10^(-C75))*N75/10^-6.4+N75+O75</f>
        <v>423.50984243221285</v>
      </c>
      <c r="S75" s="4">
        <f aca="true" t="shared" si="76" ref="S75:S117">D75/23.1</f>
        <v>0.08658008658008658</v>
      </c>
      <c r="T75" s="4">
        <f aca="true" t="shared" si="77" ref="T75:T117">E75/39.1</f>
        <v>0.01278772378516624</v>
      </c>
      <c r="U75" s="4">
        <f aca="true" t="shared" si="78" ref="U75:U117">F75/12.15</f>
        <v>0.5020576131687242</v>
      </c>
      <c r="V75" s="4">
        <f aca="true" t="shared" si="79" ref="V75:V117">G75/20.04</f>
        <v>6.087824351297406</v>
      </c>
      <c r="W75" s="4">
        <f aca="true" t="shared" si="80" ref="W75:W117">H75/37.85</f>
        <v>0</v>
      </c>
      <c r="X75" s="4">
        <f aca="true" t="shared" si="81" ref="X75:X117">I75/19</f>
        <v>0</v>
      </c>
      <c r="Y75" s="4">
        <f aca="true" t="shared" si="82" ref="Y75:Y117">J75/35.5</f>
        <v>0.07042253521126761</v>
      </c>
      <c r="Z75" s="4">
        <f aca="true" t="shared" si="83" ref="Z75:Z117">K75/62</f>
        <v>0</v>
      </c>
      <c r="AA75" s="4">
        <f aca="true" t="shared" si="84" ref="AA75:AA117">L75/48</f>
        <v>0</v>
      </c>
      <c r="AB75" s="4">
        <f aca="true" t="shared" si="85" ref="AB75:AB117">M75/48</f>
        <v>0.010416666666666666</v>
      </c>
      <c r="AC75" s="4">
        <f aca="true" t="shared" si="86" ref="AC75:AC117">N75/61</f>
        <v>6.595870201209379</v>
      </c>
      <c r="AD75" s="4">
        <f aca="true" t="shared" si="87" ref="AD75:AD117">O75/60</f>
        <v>0.016609798790628426</v>
      </c>
      <c r="AE75" s="1">
        <f aca="true" t="shared" si="88" ref="AE75:AE117">SUM(S75:W75)</f>
        <v>6.689249774831382</v>
      </c>
      <c r="AF75" s="1">
        <f aca="true" t="shared" si="89" ref="AF75:AF117">SUM(X75:AD75)</f>
        <v>6.693319201877941</v>
      </c>
      <c r="AG75" s="1">
        <f aca="true" t="shared" si="90" ref="AG75:AG117">AE75-AF75</f>
        <v>-0.004069427046558438</v>
      </c>
      <c r="AH75" s="5">
        <f aca="true" t="shared" si="91" ref="AH75:AH117">(AE75-AF75)/(AE75+AF75)*100</f>
        <v>-0.030408414510254077</v>
      </c>
      <c r="AI75" s="1">
        <f aca="true" t="shared" si="92" ref="AI75:AI117">AE75+AF75</f>
        <v>13.382568976709322</v>
      </c>
      <c r="AJ75" s="7">
        <f aca="true" t="shared" si="93" ref="AJ75:AJ117">G75*2.6+F75*3.82+E75*1.84+D75*2.13+N75*0.72+O75*2.82+J75*2.14+K75*1.15+M75*1.54</f>
        <v>644.3029971924902</v>
      </c>
      <c r="AK75" s="7">
        <f aca="true" t="shared" si="94" ref="AK75:AK117">V75+U75</f>
        <v>6.58988196446613</v>
      </c>
      <c r="AL75" s="2">
        <f aca="true" t="shared" si="95" ref="AL75:AL117">AS75+AT75-(AN75*AQ75*AR75/115.2/(AQ75+AR75)*(2*AM75/(1+AM75^0.5))+0.668)*((AQ75+AR75)*AI75/2)^1.5</f>
        <v>604.8214187441151</v>
      </c>
      <c r="AM75" s="16">
        <f aca="true" t="shared" si="96" ref="AM75:AM117">AQ75*AR75*AN75/(AQ75+AR75)/(AQ75*AP75+AR75*AO75)</f>
        <v>0.46677827932035065</v>
      </c>
      <c r="AN75" s="16">
        <f aca="true" t="shared" si="97" ref="AN75:AN117">AO75+AP75</f>
        <v>103.87580655330763</v>
      </c>
      <c r="AO75" s="16">
        <f aca="true" t="shared" si="98" ref="AO75:AO117">AS75/(S75+T75+U75+V75)</f>
        <v>58.92474963042664</v>
      </c>
      <c r="AP75" s="16">
        <f aca="true" t="shared" si="99" ref="AP75:AP117">AT75/(Y75+Z75+AB75+AC73:AC75+AD75)</f>
        <v>44.95105692288098</v>
      </c>
      <c r="AQ75" s="16">
        <f aca="true" t="shared" si="100" ref="AQ75:AQ117">(S75+T75+U75*4+V75*4)/(S75+T75+U75*2+V75*2)</f>
        <v>1.9925169949123112</v>
      </c>
      <c r="AR75" s="16">
        <f aca="true" t="shared" si="101" ref="AR75:AR117">(Y75+Z75+AB75*4+AC75+AD75*4)/(Y75+Z75+AB75*2+AC75+AD75*2)</f>
        <v>1.0080431771802034</v>
      </c>
      <c r="AS75" s="16">
        <f aca="true" t="shared" si="102" ref="AS75:AS117">S75*S$2+T75*T$2+U75*U$2+V75*V$2</f>
        <v>394.162368197327</v>
      </c>
      <c r="AT75" s="16">
        <f aca="true" t="shared" si="103" ref="AT75:AT117">Y75*Y$2+Z75*Z$2+AB75*AB$2+AC75*AC$2+AD75*AD$2</f>
        <v>300.87177244662763</v>
      </c>
    </row>
    <row r="76" spans="1:46" ht="12.75">
      <c r="A76" s="10" t="s">
        <v>231</v>
      </c>
      <c r="C76" s="3">
        <v>7.7</v>
      </c>
      <c r="D76" s="1">
        <v>2</v>
      </c>
      <c r="E76" s="1">
        <v>0.5</v>
      </c>
      <c r="F76" s="1">
        <f t="shared" si="69"/>
        <v>6.2</v>
      </c>
      <c r="G76" s="1">
        <f t="shared" si="70"/>
        <v>124</v>
      </c>
      <c r="J76" s="1">
        <v>2.5</v>
      </c>
      <c r="K76" s="1">
        <v>0</v>
      </c>
      <c r="L76" s="1">
        <v>0</v>
      </c>
      <c r="M76" s="1">
        <v>0.5</v>
      </c>
      <c r="N76" s="1">
        <f t="shared" si="71"/>
        <v>408.9244017079555</v>
      </c>
      <c r="O76" s="1">
        <f t="shared" si="72"/>
        <v>1.0128770085687588</v>
      </c>
      <c r="P76" s="1">
        <f t="shared" si="73"/>
        <v>409.9541600000004</v>
      </c>
      <c r="Q76" s="3">
        <f t="shared" si="74"/>
        <v>6.720560000000007</v>
      </c>
      <c r="R76" s="5">
        <f t="shared" si="75"/>
        <v>430.43204768199405</v>
      </c>
      <c r="S76" s="4">
        <f t="shared" si="76"/>
        <v>0.08658008658008658</v>
      </c>
      <c r="T76" s="4">
        <f t="shared" si="77"/>
        <v>0.01278772378516624</v>
      </c>
      <c r="U76" s="4">
        <f t="shared" si="78"/>
        <v>0.5102880658436214</v>
      </c>
      <c r="V76" s="4">
        <f t="shared" si="79"/>
        <v>6.187624750499002</v>
      </c>
      <c r="W76" s="4">
        <f t="shared" si="80"/>
        <v>0</v>
      </c>
      <c r="X76" s="4">
        <f t="shared" si="81"/>
        <v>0</v>
      </c>
      <c r="Y76" s="4">
        <f t="shared" si="82"/>
        <v>0.07042253521126761</v>
      </c>
      <c r="Z76" s="4">
        <f t="shared" si="83"/>
        <v>0</v>
      </c>
      <c r="AA76" s="4">
        <f t="shared" si="84"/>
        <v>0</v>
      </c>
      <c r="AB76" s="4">
        <f t="shared" si="85"/>
        <v>0.010416666666666666</v>
      </c>
      <c r="AC76" s="4">
        <f t="shared" si="86"/>
        <v>6.703678716523861</v>
      </c>
      <c r="AD76" s="4">
        <f t="shared" si="87"/>
        <v>0.01688128347614598</v>
      </c>
      <c r="AE76" s="1">
        <f t="shared" si="88"/>
        <v>6.7972806267078765</v>
      </c>
      <c r="AF76" s="1">
        <f t="shared" si="89"/>
        <v>6.801399201877941</v>
      </c>
      <c r="AG76" s="1">
        <f t="shared" si="90"/>
        <v>-0.004118575170064531</v>
      </c>
      <c r="AH76" s="5">
        <f t="shared" si="91"/>
        <v>-0.030286580918001058</v>
      </c>
      <c r="AI76" s="1">
        <f t="shared" si="92"/>
        <v>13.598679828585817</v>
      </c>
      <c r="AJ76" s="7">
        <f t="shared" si="93"/>
        <v>654.6658823938919</v>
      </c>
      <c r="AK76" s="7">
        <f t="shared" si="94"/>
        <v>6.697912816342623</v>
      </c>
      <c r="AL76" s="2">
        <f t="shared" si="95"/>
        <v>613.8173486101763</v>
      </c>
      <c r="AM76" s="16">
        <f t="shared" si="96"/>
        <v>0.46677759491546983</v>
      </c>
      <c r="AN76" s="16">
        <f t="shared" si="97"/>
        <v>103.87102198137461</v>
      </c>
      <c r="AO76" s="16">
        <f t="shared" si="98"/>
        <v>58.92614281850699</v>
      </c>
      <c r="AP76" s="16">
        <f t="shared" si="99"/>
        <v>44.94487916286763</v>
      </c>
      <c r="AQ76" s="16">
        <f t="shared" si="100"/>
        <v>1.9926367998514003</v>
      </c>
      <c r="AR76" s="16">
        <f t="shared" si="101"/>
        <v>1.0079950683227281</v>
      </c>
      <c r="AS76" s="16">
        <f t="shared" si="102"/>
        <v>400.537528986859</v>
      </c>
      <c r="AT76" s="16">
        <f t="shared" si="103"/>
        <v>305.6880652668284</v>
      </c>
    </row>
    <row r="77" spans="1:46" ht="12.75">
      <c r="A77" s="10" t="s">
        <v>232</v>
      </c>
      <c r="C77" s="3">
        <v>7.7</v>
      </c>
      <c r="D77" s="1">
        <v>2</v>
      </c>
      <c r="E77" s="1">
        <v>0.5</v>
      </c>
      <c r="F77" s="1">
        <f t="shared" si="69"/>
        <v>6.3</v>
      </c>
      <c r="G77" s="1">
        <f t="shared" si="70"/>
        <v>126</v>
      </c>
      <c r="J77" s="1">
        <v>2.5</v>
      </c>
      <c r="K77" s="1">
        <v>0</v>
      </c>
      <c r="L77" s="1">
        <v>0</v>
      </c>
      <c r="M77" s="1">
        <v>0.5</v>
      </c>
      <c r="N77" s="1">
        <f t="shared" si="71"/>
        <v>415.50072114213896</v>
      </c>
      <c r="O77" s="1">
        <f t="shared" si="72"/>
        <v>1.029166089699812</v>
      </c>
      <c r="P77" s="1">
        <f t="shared" si="73"/>
        <v>416.54704000000044</v>
      </c>
      <c r="Q77" s="3">
        <f t="shared" si="74"/>
        <v>6.828640000000007</v>
      </c>
      <c r="R77" s="5">
        <f t="shared" si="75"/>
        <v>437.3542529317753</v>
      </c>
      <c r="S77" s="4">
        <f t="shared" si="76"/>
        <v>0.08658008658008658</v>
      </c>
      <c r="T77" s="4">
        <f t="shared" si="77"/>
        <v>0.01278772378516624</v>
      </c>
      <c r="U77" s="4">
        <f t="shared" si="78"/>
        <v>0.5185185185185185</v>
      </c>
      <c r="V77" s="4">
        <f t="shared" si="79"/>
        <v>6.287425149700599</v>
      </c>
      <c r="W77" s="4">
        <f t="shared" si="80"/>
        <v>0</v>
      </c>
      <c r="X77" s="4">
        <f t="shared" si="81"/>
        <v>0</v>
      </c>
      <c r="Y77" s="4">
        <f t="shared" si="82"/>
        <v>0.07042253521126761</v>
      </c>
      <c r="Z77" s="4">
        <f t="shared" si="83"/>
        <v>0</v>
      </c>
      <c r="AA77" s="4">
        <f t="shared" si="84"/>
        <v>0</v>
      </c>
      <c r="AB77" s="4">
        <f t="shared" si="85"/>
        <v>0.010416666666666666</v>
      </c>
      <c r="AC77" s="4">
        <f t="shared" si="86"/>
        <v>6.811487231838344</v>
      </c>
      <c r="AD77" s="4">
        <f t="shared" si="87"/>
        <v>0.017152768161663536</v>
      </c>
      <c r="AE77" s="1">
        <f t="shared" si="88"/>
        <v>6.9053114785843706</v>
      </c>
      <c r="AF77" s="1">
        <f t="shared" si="89"/>
        <v>6.909479201877941</v>
      </c>
      <c r="AG77" s="1">
        <f t="shared" si="90"/>
        <v>-0.004167723293570624</v>
      </c>
      <c r="AH77" s="5">
        <f t="shared" si="91"/>
        <v>-0.03016855911877741</v>
      </c>
      <c r="AI77" s="1">
        <f t="shared" si="92"/>
        <v>13.814790680462313</v>
      </c>
      <c r="AJ77" s="7">
        <f t="shared" si="93"/>
        <v>665.0287675952936</v>
      </c>
      <c r="AK77" s="7">
        <f t="shared" si="94"/>
        <v>6.8059436682191174</v>
      </c>
      <c r="AL77" s="2">
        <f t="shared" si="95"/>
        <v>622.7957525443175</v>
      </c>
      <c r="AM77" s="16">
        <f t="shared" si="96"/>
        <v>0.4667769362761677</v>
      </c>
      <c r="AN77" s="16">
        <f t="shared" si="97"/>
        <v>103.86638708618364</v>
      </c>
      <c r="AO77" s="16">
        <f t="shared" si="98"/>
        <v>58.92749241484043</v>
      </c>
      <c r="AP77" s="16">
        <f t="shared" si="99"/>
        <v>44.93889467134321</v>
      </c>
      <c r="AQ77" s="16">
        <f t="shared" si="100"/>
        <v>1.9927528290224825</v>
      </c>
      <c r="AR77" s="16">
        <f t="shared" si="101"/>
        <v>1.0079484623136274</v>
      </c>
      <c r="AS77" s="16">
        <f t="shared" si="102"/>
        <v>406.91268977639106</v>
      </c>
      <c r="AT77" s="16">
        <f t="shared" si="103"/>
        <v>310.50435808702935</v>
      </c>
    </row>
    <row r="78" spans="1:46" ht="12.75">
      <c r="A78" s="10" t="s">
        <v>233</v>
      </c>
      <c r="C78" s="3">
        <v>7.7</v>
      </c>
      <c r="D78" s="1">
        <v>2</v>
      </c>
      <c r="E78" s="1">
        <v>0.5</v>
      </c>
      <c r="F78" s="1">
        <f t="shared" si="69"/>
        <v>6.4</v>
      </c>
      <c r="G78" s="1">
        <f t="shared" si="70"/>
        <v>128</v>
      </c>
      <c r="J78" s="1">
        <v>2.5</v>
      </c>
      <c r="K78" s="1">
        <v>0</v>
      </c>
      <c r="L78" s="1">
        <v>0</v>
      </c>
      <c r="M78" s="1">
        <v>0.5</v>
      </c>
      <c r="N78" s="1">
        <f t="shared" si="71"/>
        <v>422.0770405763224</v>
      </c>
      <c r="O78" s="1">
        <f t="shared" si="72"/>
        <v>1.0454551708308655</v>
      </c>
      <c r="P78" s="1">
        <f t="shared" si="73"/>
        <v>423.1399200000005</v>
      </c>
      <c r="Q78" s="3">
        <f t="shared" si="74"/>
        <v>6.936720000000007</v>
      </c>
      <c r="R78" s="5">
        <f t="shared" si="75"/>
        <v>444.2764581815566</v>
      </c>
      <c r="S78" s="4">
        <f t="shared" si="76"/>
        <v>0.08658008658008658</v>
      </c>
      <c r="T78" s="4">
        <f t="shared" si="77"/>
        <v>0.01278772378516624</v>
      </c>
      <c r="U78" s="4">
        <f t="shared" si="78"/>
        <v>0.5267489711934157</v>
      </c>
      <c r="V78" s="4">
        <f t="shared" si="79"/>
        <v>6.387225548902196</v>
      </c>
      <c r="W78" s="4">
        <f t="shared" si="80"/>
        <v>0</v>
      </c>
      <c r="X78" s="4">
        <f t="shared" si="81"/>
        <v>0</v>
      </c>
      <c r="Y78" s="4">
        <f t="shared" si="82"/>
        <v>0.07042253521126761</v>
      </c>
      <c r="Z78" s="4">
        <f t="shared" si="83"/>
        <v>0</v>
      </c>
      <c r="AA78" s="4">
        <f t="shared" si="84"/>
        <v>0</v>
      </c>
      <c r="AB78" s="4">
        <f t="shared" si="85"/>
        <v>0.010416666666666666</v>
      </c>
      <c r="AC78" s="4">
        <f t="shared" si="86"/>
        <v>6.919295747152827</v>
      </c>
      <c r="AD78" s="4">
        <f t="shared" si="87"/>
        <v>0.01742425284718109</v>
      </c>
      <c r="AE78" s="1">
        <f t="shared" si="88"/>
        <v>7.013342330460864</v>
      </c>
      <c r="AF78" s="1">
        <f t="shared" si="89"/>
        <v>7.017559201877942</v>
      </c>
      <c r="AG78" s="1">
        <f t="shared" si="90"/>
        <v>-0.004216871417078494</v>
      </c>
      <c r="AH78" s="5">
        <f t="shared" si="91"/>
        <v>-0.0300541729792582</v>
      </c>
      <c r="AI78" s="1">
        <f t="shared" si="92"/>
        <v>14.030901532338806</v>
      </c>
      <c r="AJ78" s="7">
        <f t="shared" si="93"/>
        <v>675.3916527966952</v>
      </c>
      <c r="AK78" s="7">
        <f t="shared" si="94"/>
        <v>6.9139745200956115</v>
      </c>
      <c r="AL78" s="2">
        <f t="shared" si="95"/>
        <v>631.7567682445707</v>
      </c>
      <c r="AM78" s="16">
        <f t="shared" si="96"/>
        <v>0.46677630201400255</v>
      </c>
      <c r="AN78" s="16">
        <f t="shared" si="97"/>
        <v>103.86189495235021</v>
      </c>
      <c r="AO78" s="16">
        <f t="shared" si="98"/>
        <v>58.92880043383894</v>
      </c>
      <c r="AP78" s="16">
        <f t="shared" si="99"/>
        <v>44.93309451851128</v>
      </c>
      <c r="AQ78" s="16">
        <f t="shared" si="100"/>
        <v>1.9928652581519113</v>
      </c>
      <c r="AR78" s="16">
        <f t="shared" si="101"/>
        <v>1.007903289815809</v>
      </c>
      <c r="AS78" s="16">
        <f t="shared" si="102"/>
        <v>413.2878505659231</v>
      </c>
      <c r="AT78" s="16">
        <f t="shared" si="103"/>
        <v>315.3206509072302</v>
      </c>
    </row>
    <row r="79" spans="1:46" ht="12.75">
      <c r="A79" s="10" t="s">
        <v>234</v>
      </c>
      <c r="C79" s="3">
        <v>7.7</v>
      </c>
      <c r="D79" s="1">
        <v>2</v>
      </c>
      <c r="E79" s="1">
        <v>0.5</v>
      </c>
      <c r="F79" s="1">
        <f t="shared" si="69"/>
        <v>6.5</v>
      </c>
      <c r="G79" s="1">
        <f t="shared" si="70"/>
        <v>130</v>
      </c>
      <c r="J79" s="1">
        <v>2.5</v>
      </c>
      <c r="K79" s="1">
        <v>0</v>
      </c>
      <c r="L79" s="1">
        <v>0</v>
      </c>
      <c r="M79" s="1">
        <v>0.5</v>
      </c>
      <c r="N79" s="1">
        <f t="shared" si="71"/>
        <v>428.6533600105058</v>
      </c>
      <c r="O79" s="1">
        <f t="shared" si="72"/>
        <v>1.061744251961919</v>
      </c>
      <c r="P79" s="1">
        <f t="shared" si="73"/>
        <v>429.73280000000045</v>
      </c>
      <c r="Q79" s="3">
        <f t="shared" si="74"/>
        <v>7.0448000000000075</v>
      </c>
      <c r="R79" s="5">
        <f t="shared" si="75"/>
        <v>451.1986634313378</v>
      </c>
      <c r="S79" s="4">
        <f t="shared" si="76"/>
        <v>0.08658008658008658</v>
      </c>
      <c r="T79" s="4">
        <f t="shared" si="77"/>
        <v>0.01278772378516624</v>
      </c>
      <c r="U79" s="4">
        <f t="shared" si="78"/>
        <v>0.5349794238683128</v>
      </c>
      <c r="V79" s="4">
        <f t="shared" si="79"/>
        <v>6.487025948103793</v>
      </c>
      <c r="W79" s="4">
        <f t="shared" si="80"/>
        <v>0</v>
      </c>
      <c r="X79" s="4">
        <f t="shared" si="81"/>
        <v>0</v>
      </c>
      <c r="Y79" s="4">
        <f t="shared" si="82"/>
        <v>0.07042253521126761</v>
      </c>
      <c r="Z79" s="4">
        <f t="shared" si="83"/>
        <v>0</v>
      </c>
      <c r="AA79" s="4">
        <f t="shared" si="84"/>
        <v>0</v>
      </c>
      <c r="AB79" s="4">
        <f t="shared" si="85"/>
        <v>0.010416666666666666</v>
      </c>
      <c r="AC79" s="4">
        <f t="shared" si="86"/>
        <v>7.027104262467309</v>
      </c>
      <c r="AD79" s="4">
        <f t="shared" si="87"/>
        <v>0.01769573753269865</v>
      </c>
      <c r="AE79" s="1">
        <f t="shared" si="88"/>
        <v>7.121373182337359</v>
      </c>
      <c r="AF79" s="1">
        <f t="shared" si="89"/>
        <v>7.1256392018779415</v>
      </c>
      <c r="AG79" s="1">
        <f t="shared" si="90"/>
        <v>-0.0042660195405828105</v>
      </c>
      <c r="AH79" s="5">
        <f t="shared" si="91"/>
        <v>-0.02994325705303144</v>
      </c>
      <c r="AI79" s="1">
        <f t="shared" si="92"/>
        <v>14.2470123842153</v>
      </c>
      <c r="AJ79" s="7">
        <f t="shared" si="93"/>
        <v>685.7545379980968</v>
      </c>
      <c r="AK79" s="7">
        <f t="shared" si="94"/>
        <v>7.022005371972106</v>
      </c>
      <c r="AL79" s="2">
        <f t="shared" si="95"/>
        <v>640.7005302137122</v>
      </c>
      <c r="AM79" s="16">
        <f t="shared" si="96"/>
        <v>0.4667756908365933</v>
      </c>
      <c r="AN79" s="16">
        <f t="shared" si="97"/>
        <v>103.85753908403592</v>
      </c>
      <c r="AO79" s="16">
        <f t="shared" si="98"/>
        <v>58.93006876768034</v>
      </c>
      <c r="AP79" s="16">
        <f t="shared" si="99"/>
        <v>44.92747031635559</v>
      </c>
      <c r="AQ79" s="16">
        <f t="shared" si="100"/>
        <v>1.9929742522280876</v>
      </c>
      <c r="AR79" s="16">
        <f t="shared" si="101"/>
        <v>1.0078594856929288</v>
      </c>
      <c r="AS79" s="16">
        <f t="shared" si="102"/>
        <v>419.6630113554551</v>
      </c>
      <c r="AT79" s="16">
        <f t="shared" si="103"/>
        <v>320.13694372743095</v>
      </c>
    </row>
    <row r="80" spans="1:46" ht="12.75">
      <c r="A80" s="10" t="s">
        <v>235</v>
      </c>
      <c r="C80" s="3">
        <v>7.7</v>
      </c>
      <c r="D80" s="1">
        <v>2</v>
      </c>
      <c r="E80" s="1">
        <v>0.5</v>
      </c>
      <c r="F80" s="1">
        <f t="shared" si="69"/>
        <v>6.6</v>
      </c>
      <c r="G80" s="1">
        <f t="shared" si="70"/>
        <v>132</v>
      </c>
      <c r="J80" s="1">
        <v>2.5</v>
      </c>
      <c r="K80" s="1">
        <v>0</v>
      </c>
      <c r="L80" s="1">
        <v>0</v>
      </c>
      <c r="M80" s="1">
        <v>0.5</v>
      </c>
      <c r="N80" s="1">
        <f t="shared" si="71"/>
        <v>435.2296794446893</v>
      </c>
      <c r="O80" s="1">
        <f t="shared" si="72"/>
        <v>1.0780333330929721</v>
      </c>
      <c r="P80" s="1">
        <f t="shared" si="73"/>
        <v>436.3256800000005</v>
      </c>
      <c r="Q80" s="3">
        <f t="shared" si="74"/>
        <v>7.152880000000008</v>
      </c>
      <c r="R80" s="5">
        <f t="shared" si="75"/>
        <v>458.1208686811191</v>
      </c>
      <c r="S80" s="4">
        <f t="shared" si="76"/>
        <v>0.08658008658008658</v>
      </c>
      <c r="T80" s="4">
        <f t="shared" si="77"/>
        <v>0.01278772378516624</v>
      </c>
      <c r="U80" s="4">
        <f t="shared" si="78"/>
        <v>0.5432098765432098</v>
      </c>
      <c r="V80" s="4">
        <f t="shared" si="79"/>
        <v>6.586826347305389</v>
      </c>
      <c r="W80" s="4">
        <f t="shared" si="80"/>
        <v>0</v>
      </c>
      <c r="X80" s="4">
        <f t="shared" si="81"/>
        <v>0</v>
      </c>
      <c r="Y80" s="4">
        <f t="shared" si="82"/>
        <v>0.07042253521126761</v>
      </c>
      <c r="Z80" s="4">
        <f t="shared" si="83"/>
        <v>0</v>
      </c>
      <c r="AA80" s="4">
        <f t="shared" si="84"/>
        <v>0</v>
      </c>
      <c r="AB80" s="4">
        <f t="shared" si="85"/>
        <v>0.010416666666666666</v>
      </c>
      <c r="AC80" s="4">
        <f t="shared" si="86"/>
        <v>7.134912777781792</v>
      </c>
      <c r="AD80" s="4">
        <f t="shared" si="87"/>
        <v>0.017967222218216203</v>
      </c>
      <c r="AE80" s="1">
        <f t="shared" si="88"/>
        <v>7.229404034213852</v>
      </c>
      <c r="AF80" s="1">
        <f t="shared" si="89"/>
        <v>7.233719201877942</v>
      </c>
      <c r="AG80" s="1">
        <f t="shared" si="90"/>
        <v>-0.004315167664089792</v>
      </c>
      <c r="AH80" s="5">
        <f t="shared" si="91"/>
        <v>-0.029835655782297205</v>
      </c>
      <c r="AI80" s="1">
        <f t="shared" si="92"/>
        <v>14.463123236091793</v>
      </c>
      <c r="AJ80" s="7">
        <f t="shared" si="93"/>
        <v>696.1174231994984</v>
      </c>
      <c r="AK80" s="7">
        <f t="shared" si="94"/>
        <v>7.130036223848599</v>
      </c>
      <c r="AL80" s="2">
        <f t="shared" si="95"/>
        <v>649.6271698809508</v>
      </c>
      <c r="AM80" s="16">
        <f t="shared" si="96"/>
        <v>0.4667751015395732</v>
      </c>
      <c r="AN80" s="16">
        <f t="shared" si="97"/>
        <v>103.85331337360725</v>
      </c>
      <c r="AO80" s="16">
        <f t="shared" si="98"/>
        <v>58.93129919544134</v>
      </c>
      <c r="AP80" s="16">
        <f t="shared" si="99"/>
        <v>44.9220141781659</v>
      </c>
      <c r="AQ80" s="16">
        <f t="shared" si="100"/>
        <v>1.9930799663093093</v>
      </c>
      <c r="AR80" s="16">
        <f t="shared" si="101"/>
        <v>1.0078169886960118</v>
      </c>
      <c r="AS80" s="16">
        <f t="shared" si="102"/>
        <v>426.03817214498713</v>
      </c>
      <c r="AT80" s="16">
        <f t="shared" si="103"/>
        <v>324.95323654763183</v>
      </c>
    </row>
    <row r="81" spans="1:46" ht="12.75">
      <c r="A81" s="10" t="s">
        <v>236</v>
      </c>
      <c r="C81" s="3">
        <v>7.7</v>
      </c>
      <c r="D81" s="1">
        <v>2</v>
      </c>
      <c r="E81" s="1">
        <v>0.5</v>
      </c>
      <c r="F81" s="1">
        <f t="shared" si="69"/>
        <v>6.7</v>
      </c>
      <c r="G81" s="1">
        <f t="shared" si="70"/>
        <v>134</v>
      </c>
      <c r="J81" s="1">
        <v>2.5</v>
      </c>
      <c r="K81" s="1">
        <v>0</v>
      </c>
      <c r="L81" s="1">
        <v>0</v>
      </c>
      <c r="M81" s="1">
        <v>0.5</v>
      </c>
      <c r="N81" s="1">
        <f t="shared" si="71"/>
        <v>441.8059988788727</v>
      </c>
      <c r="O81" s="1">
        <f t="shared" si="72"/>
        <v>1.0943224142240253</v>
      </c>
      <c r="P81" s="1">
        <f t="shared" si="73"/>
        <v>442.91856000000047</v>
      </c>
      <c r="Q81" s="3">
        <f t="shared" si="74"/>
        <v>7.260960000000008</v>
      </c>
      <c r="R81" s="5">
        <f t="shared" si="75"/>
        <v>465.0430739309004</v>
      </c>
      <c r="S81" s="4">
        <f t="shared" si="76"/>
        <v>0.08658008658008658</v>
      </c>
      <c r="T81" s="4">
        <f t="shared" si="77"/>
        <v>0.01278772378516624</v>
      </c>
      <c r="U81" s="4">
        <f t="shared" si="78"/>
        <v>0.551440329218107</v>
      </c>
      <c r="V81" s="4">
        <f t="shared" si="79"/>
        <v>6.686626746506986</v>
      </c>
      <c r="W81" s="4">
        <f t="shared" si="80"/>
        <v>0</v>
      </c>
      <c r="X81" s="4">
        <f t="shared" si="81"/>
        <v>0</v>
      </c>
      <c r="Y81" s="4">
        <f t="shared" si="82"/>
        <v>0.07042253521126761</v>
      </c>
      <c r="Z81" s="4">
        <f t="shared" si="83"/>
        <v>0</v>
      </c>
      <c r="AA81" s="4">
        <f t="shared" si="84"/>
        <v>0</v>
      </c>
      <c r="AB81" s="4">
        <f t="shared" si="85"/>
        <v>0.010416666666666666</v>
      </c>
      <c r="AC81" s="4">
        <f t="shared" si="86"/>
        <v>7.242721293096274</v>
      </c>
      <c r="AD81" s="4">
        <f t="shared" si="87"/>
        <v>0.018238706903733755</v>
      </c>
      <c r="AE81" s="1">
        <f t="shared" si="88"/>
        <v>7.337434886090346</v>
      </c>
      <c r="AF81" s="1">
        <f t="shared" si="89"/>
        <v>7.341799201877942</v>
      </c>
      <c r="AG81" s="1">
        <f t="shared" si="90"/>
        <v>-0.004364315787595885</v>
      </c>
      <c r="AH81" s="5">
        <f t="shared" si="91"/>
        <v>-0.02973122276981099</v>
      </c>
      <c r="AI81" s="1">
        <f t="shared" si="92"/>
        <v>14.679234087968288</v>
      </c>
      <c r="AJ81" s="7">
        <f t="shared" si="93"/>
        <v>706.4803084009002</v>
      </c>
      <c r="AK81" s="7">
        <f t="shared" si="94"/>
        <v>7.238067075725094</v>
      </c>
      <c r="AL81" s="2">
        <f t="shared" si="95"/>
        <v>658.5368157172231</v>
      </c>
      <c r="AM81" s="16">
        <f t="shared" si="96"/>
        <v>0.4667745329993302</v>
      </c>
      <c r="AN81" s="16">
        <f t="shared" si="97"/>
        <v>103.84921207306238</v>
      </c>
      <c r="AO81" s="16">
        <f t="shared" si="98"/>
        <v>58.932493391423456</v>
      </c>
      <c r="AP81" s="16">
        <f t="shared" si="99"/>
        <v>44.91671868163892</v>
      </c>
      <c r="AQ81" s="16">
        <f t="shared" si="100"/>
        <v>1.9931825462597736</v>
      </c>
      <c r="AR81" s="16">
        <f t="shared" si="101"/>
        <v>1.0077757411777162</v>
      </c>
      <c r="AS81" s="16">
        <f t="shared" si="102"/>
        <v>432.41333293451925</v>
      </c>
      <c r="AT81" s="16">
        <f t="shared" si="103"/>
        <v>329.76952936783266</v>
      </c>
    </row>
    <row r="82" spans="1:46" ht="12.75">
      <c r="A82" s="10" t="s">
        <v>237</v>
      </c>
      <c r="C82" s="3">
        <v>7.7</v>
      </c>
      <c r="D82" s="1">
        <v>2</v>
      </c>
      <c r="E82" s="1">
        <v>0.5</v>
      </c>
      <c r="F82" s="1">
        <f t="shared" si="69"/>
        <v>6.8</v>
      </c>
      <c r="G82" s="1">
        <f t="shared" si="70"/>
        <v>136</v>
      </c>
      <c r="J82" s="1">
        <v>2.5</v>
      </c>
      <c r="K82" s="1">
        <v>0</v>
      </c>
      <c r="L82" s="1">
        <v>0</v>
      </c>
      <c r="M82" s="1">
        <v>0.5</v>
      </c>
      <c r="N82" s="1">
        <f t="shared" si="71"/>
        <v>448.3823183130562</v>
      </c>
      <c r="O82" s="1">
        <f t="shared" si="72"/>
        <v>1.1106114953550785</v>
      </c>
      <c r="P82" s="1">
        <f t="shared" si="73"/>
        <v>449.5114400000005</v>
      </c>
      <c r="Q82" s="3">
        <f t="shared" si="74"/>
        <v>7.369040000000008</v>
      </c>
      <c r="R82" s="5">
        <f t="shared" si="75"/>
        <v>471.9652791806817</v>
      </c>
      <c r="S82" s="4">
        <f t="shared" si="76"/>
        <v>0.08658008658008658</v>
      </c>
      <c r="T82" s="4">
        <f t="shared" si="77"/>
        <v>0.01278772378516624</v>
      </c>
      <c r="U82" s="4">
        <f t="shared" si="78"/>
        <v>0.5596707818930041</v>
      </c>
      <c r="V82" s="4">
        <f t="shared" si="79"/>
        <v>6.786427145708583</v>
      </c>
      <c r="W82" s="4">
        <f t="shared" si="80"/>
        <v>0</v>
      </c>
      <c r="X82" s="4">
        <f t="shared" si="81"/>
        <v>0</v>
      </c>
      <c r="Y82" s="4">
        <f t="shared" si="82"/>
        <v>0.07042253521126761</v>
      </c>
      <c r="Z82" s="4">
        <f t="shared" si="83"/>
        <v>0</v>
      </c>
      <c r="AA82" s="4">
        <f t="shared" si="84"/>
        <v>0</v>
      </c>
      <c r="AB82" s="4">
        <f t="shared" si="85"/>
        <v>0.010416666666666666</v>
      </c>
      <c r="AC82" s="4">
        <f t="shared" si="86"/>
        <v>7.350529808410758</v>
      </c>
      <c r="AD82" s="4">
        <f t="shared" si="87"/>
        <v>0.01851019158925131</v>
      </c>
      <c r="AE82" s="1">
        <f t="shared" si="88"/>
        <v>7.44546573796684</v>
      </c>
      <c r="AF82" s="1">
        <f t="shared" si="89"/>
        <v>7.449879201877943</v>
      </c>
      <c r="AG82" s="1">
        <f t="shared" si="90"/>
        <v>-0.004413463911102866</v>
      </c>
      <c r="AH82" s="5">
        <f t="shared" si="91"/>
        <v>-0.02962982011445018</v>
      </c>
      <c r="AI82" s="1">
        <f t="shared" si="92"/>
        <v>14.895344939844783</v>
      </c>
      <c r="AJ82" s="7">
        <f t="shared" si="93"/>
        <v>716.8431936023019</v>
      </c>
      <c r="AK82" s="7">
        <f t="shared" si="94"/>
        <v>7.346097927601587</v>
      </c>
      <c r="AL82" s="2">
        <f t="shared" si="95"/>
        <v>667.4295933445264</v>
      </c>
      <c r="AM82" s="16">
        <f t="shared" si="96"/>
        <v>0.4667739841664468</v>
      </c>
      <c r="AN82" s="16">
        <f t="shared" si="97"/>
        <v>103.84522976794544</v>
      </c>
      <c r="AO82" s="16">
        <f t="shared" si="98"/>
        <v>58.93365293275432</v>
      </c>
      <c r="AP82" s="16">
        <f t="shared" si="99"/>
        <v>44.91157683519112</v>
      </c>
      <c r="AQ82" s="16">
        <f t="shared" si="100"/>
        <v>1.9932821294210725</v>
      </c>
      <c r="AR82" s="16">
        <f t="shared" si="101"/>
        <v>1.0077356888314337</v>
      </c>
      <c r="AS82" s="16">
        <f t="shared" si="102"/>
        <v>438.78849372405125</v>
      </c>
      <c r="AT82" s="16">
        <f t="shared" si="103"/>
        <v>334.58582218803355</v>
      </c>
    </row>
    <row r="83" spans="1:46" ht="12.75">
      <c r="A83" s="10" t="s">
        <v>238</v>
      </c>
      <c r="C83" s="3">
        <v>7.7</v>
      </c>
      <c r="D83" s="1">
        <v>2</v>
      </c>
      <c r="E83" s="1">
        <v>0.5</v>
      </c>
      <c r="F83" s="1">
        <f t="shared" si="69"/>
        <v>6.9</v>
      </c>
      <c r="G83" s="1">
        <f t="shared" si="70"/>
        <v>138</v>
      </c>
      <c r="J83" s="1">
        <v>2.5</v>
      </c>
      <c r="K83" s="1">
        <v>0</v>
      </c>
      <c r="L83" s="1">
        <v>0</v>
      </c>
      <c r="M83" s="1">
        <v>0.5</v>
      </c>
      <c r="N83" s="1">
        <f t="shared" si="71"/>
        <v>454.9586377472396</v>
      </c>
      <c r="O83" s="1">
        <f t="shared" si="72"/>
        <v>1.126900576486132</v>
      </c>
      <c r="P83" s="1">
        <f t="shared" si="73"/>
        <v>456.1043200000005</v>
      </c>
      <c r="Q83" s="3">
        <f t="shared" si="74"/>
        <v>7.477120000000008</v>
      </c>
      <c r="R83" s="5">
        <f t="shared" si="75"/>
        <v>478.8874844304629</v>
      </c>
      <c r="S83" s="4">
        <f t="shared" si="76"/>
        <v>0.08658008658008658</v>
      </c>
      <c r="T83" s="4">
        <f t="shared" si="77"/>
        <v>0.01278772378516624</v>
      </c>
      <c r="U83" s="4">
        <f t="shared" si="78"/>
        <v>0.5679012345679012</v>
      </c>
      <c r="V83" s="4">
        <f t="shared" si="79"/>
        <v>6.88622754491018</v>
      </c>
      <c r="W83" s="4">
        <f t="shared" si="80"/>
        <v>0</v>
      </c>
      <c r="X83" s="4">
        <f t="shared" si="81"/>
        <v>0</v>
      </c>
      <c r="Y83" s="4">
        <f t="shared" si="82"/>
        <v>0.07042253521126761</v>
      </c>
      <c r="Z83" s="4">
        <f t="shared" si="83"/>
        <v>0</v>
      </c>
      <c r="AA83" s="4">
        <f t="shared" si="84"/>
        <v>0</v>
      </c>
      <c r="AB83" s="4">
        <f t="shared" si="85"/>
        <v>0.010416666666666666</v>
      </c>
      <c r="AC83" s="4">
        <f t="shared" si="86"/>
        <v>7.45833832372524</v>
      </c>
      <c r="AD83" s="4">
        <f t="shared" si="87"/>
        <v>0.018781676274768865</v>
      </c>
      <c r="AE83" s="1">
        <f t="shared" si="88"/>
        <v>7.553496589843334</v>
      </c>
      <c r="AF83" s="1">
        <f t="shared" si="89"/>
        <v>7.557959201877943</v>
      </c>
      <c r="AG83" s="1">
        <f t="shared" si="90"/>
        <v>-0.004462612034608959</v>
      </c>
      <c r="AH83" s="5">
        <f t="shared" si="91"/>
        <v>-0.029531317803634615</v>
      </c>
      <c r="AI83" s="1">
        <f t="shared" si="92"/>
        <v>15.111455791721276</v>
      </c>
      <c r="AJ83" s="7">
        <f t="shared" si="93"/>
        <v>727.2060788037035</v>
      </c>
      <c r="AK83" s="7">
        <f t="shared" si="94"/>
        <v>7.454128779478081</v>
      </c>
      <c r="AL83" s="2">
        <f t="shared" si="95"/>
        <v>676.3056256396758</v>
      </c>
      <c r="AM83" s="16">
        <f t="shared" si="96"/>
        <v>0.4667734540597615</v>
      </c>
      <c r="AN83" s="16">
        <f t="shared" si="97"/>
        <v>103.84136135349857</v>
      </c>
      <c r="AO83" s="16">
        <f t="shared" si="98"/>
        <v>58.93477930633664</v>
      </c>
      <c r="AP83" s="16">
        <f t="shared" si="99"/>
        <v>44.90658204716193</v>
      </c>
      <c r="AQ83" s="16">
        <f t="shared" si="100"/>
        <v>1.9933788452256822</v>
      </c>
      <c r="AR83" s="16">
        <f t="shared" si="101"/>
        <v>1.0076967804527461</v>
      </c>
      <c r="AS83" s="16">
        <f t="shared" si="102"/>
        <v>445.1636545135833</v>
      </c>
      <c r="AT83" s="16">
        <f t="shared" si="103"/>
        <v>339.4021150082344</v>
      </c>
    </row>
    <row r="84" spans="1:46" ht="12.75">
      <c r="A84" s="10" t="s">
        <v>239</v>
      </c>
      <c r="C84" s="3">
        <v>7.7</v>
      </c>
      <c r="D84" s="1">
        <v>2</v>
      </c>
      <c r="E84" s="1">
        <v>0.5</v>
      </c>
      <c r="F84" s="1">
        <f t="shared" si="69"/>
        <v>7</v>
      </c>
      <c r="G84" s="1">
        <f t="shared" si="70"/>
        <v>140</v>
      </c>
      <c r="J84" s="1">
        <v>2.5</v>
      </c>
      <c r="K84" s="1">
        <v>0</v>
      </c>
      <c r="L84" s="1">
        <v>0</v>
      </c>
      <c r="M84" s="1">
        <v>0.5</v>
      </c>
      <c r="N84" s="1">
        <f t="shared" si="71"/>
        <v>461.53495718142307</v>
      </c>
      <c r="O84" s="1">
        <f t="shared" si="72"/>
        <v>1.1431896576171852</v>
      </c>
      <c r="P84" s="1">
        <f t="shared" si="73"/>
        <v>462.6972000000005</v>
      </c>
      <c r="Q84" s="3">
        <f t="shared" si="74"/>
        <v>7.585200000000008</v>
      </c>
      <c r="R84" s="5">
        <f t="shared" si="75"/>
        <v>485.8096896802442</v>
      </c>
      <c r="S84" s="4">
        <f t="shared" si="76"/>
        <v>0.08658008658008658</v>
      </c>
      <c r="T84" s="4">
        <f t="shared" si="77"/>
        <v>0.01278772378516624</v>
      </c>
      <c r="U84" s="4">
        <f t="shared" si="78"/>
        <v>0.5761316872427983</v>
      </c>
      <c r="V84" s="4">
        <f t="shared" si="79"/>
        <v>6.986027944111777</v>
      </c>
      <c r="W84" s="4">
        <f t="shared" si="80"/>
        <v>0</v>
      </c>
      <c r="X84" s="4">
        <f t="shared" si="81"/>
        <v>0</v>
      </c>
      <c r="Y84" s="4">
        <f t="shared" si="82"/>
        <v>0.07042253521126761</v>
      </c>
      <c r="Z84" s="4">
        <f t="shared" si="83"/>
        <v>0</v>
      </c>
      <c r="AA84" s="4">
        <f t="shared" si="84"/>
        <v>0</v>
      </c>
      <c r="AB84" s="4">
        <f t="shared" si="85"/>
        <v>0.010416666666666666</v>
      </c>
      <c r="AC84" s="4">
        <f t="shared" si="86"/>
        <v>7.566146839039723</v>
      </c>
      <c r="AD84" s="4">
        <f t="shared" si="87"/>
        <v>0.01905316096028642</v>
      </c>
      <c r="AE84" s="1">
        <f t="shared" si="88"/>
        <v>7.661527441719828</v>
      </c>
      <c r="AF84" s="1">
        <f t="shared" si="89"/>
        <v>7.666039201877943</v>
      </c>
      <c r="AG84" s="1">
        <f t="shared" si="90"/>
        <v>-0.004511760158115052</v>
      </c>
      <c r="AH84" s="5">
        <f t="shared" si="91"/>
        <v>-0.02943559315724513</v>
      </c>
      <c r="AI84" s="1">
        <f t="shared" si="92"/>
        <v>15.327566643597772</v>
      </c>
      <c r="AJ84" s="7">
        <f t="shared" si="93"/>
        <v>737.5689640051052</v>
      </c>
      <c r="AK84" s="7">
        <f t="shared" si="94"/>
        <v>7.562159631354575</v>
      </c>
      <c r="AL84" s="2">
        <f t="shared" si="95"/>
        <v>685.1650328328476</v>
      </c>
      <c r="AM84" s="16">
        <f t="shared" si="96"/>
        <v>0.466772941760986</v>
      </c>
      <c r="AN84" s="16">
        <f t="shared" si="97"/>
        <v>103.83760201283133</v>
      </c>
      <c r="AO84" s="16">
        <f t="shared" si="98"/>
        <v>58.93587391520924</v>
      </c>
      <c r="AP84" s="16">
        <f t="shared" si="99"/>
        <v>44.90172809762209</v>
      </c>
      <c r="AQ84" s="16">
        <f t="shared" si="100"/>
        <v>1.993472815758214</v>
      </c>
      <c r="AR84" s="16">
        <f t="shared" si="101"/>
        <v>1.0076589677210344</v>
      </c>
      <c r="AS84" s="16">
        <f t="shared" si="102"/>
        <v>451.5388153031154</v>
      </c>
      <c r="AT84" s="16">
        <f t="shared" si="103"/>
        <v>344.21840782843526</v>
      </c>
    </row>
    <row r="85" spans="1:46" ht="12.75">
      <c r="A85" s="10" t="s">
        <v>240</v>
      </c>
      <c r="C85" s="3">
        <v>7.7</v>
      </c>
      <c r="D85" s="1">
        <v>2</v>
      </c>
      <c r="E85" s="1">
        <v>0.5</v>
      </c>
      <c r="F85" s="1">
        <f t="shared" si="69"/>
        <v>7.1</v>
      </c>
      <c r="G85" s="1">
        <f t="shared" si="70"/>
        <v>142</v>
      </c>
      <c r="J85" s="1">
        <v>2.5</v>
      </c>
      <c r="K85" s="1">
        <v>0</v>
      </c>
      <c r="L85" s="1">
        <v>0</v>
      </c>
      <c r="M85" s="1">
        <v>0.5</v>
      </c>
      <c r="N85" s="1">
        <f t="shared" si="71"/>
        <v>468.11127661560647</v>
      </c>
      <c r="O85" s="1">
        <f t="shared" si="72"/>
        <v>1.1594787387482386</v>
      </c>
      <c r="P85" s="1">
        <f t="shared" si="73"/>
        <v>469.2900800000005</v>
      </c>
      <c r="Q85" s="3">
        <f t="shared" si="74"/>
        <v>7.693280000000009</v>
      </c>
      <c r="R85" s="5">
        <f t="shared" si="75"/>
        <v>492.7318949300254</v>
      </c>
      <c r="S85" s="4">
        <f t="shared" si="76"/>
        <v>0.08658008658008658</v>
      </c>
      <c r="T85" s="4">
        <f t="shared" si="77"/>
        <v>0.01278772378516624</v>
      </c>
      <c r="U85" s="4">
        <f t="shared" si="78"/>
        <v>0.5843621399176955</v>
      </c>
      <c r="V85" s="4">
        <f t="shared" si="79"/>
        <v>7.0858283433133735</v>
      </c>
      <c r="W85" s="4">
        <f t="shared" si="80"/>
        <v>0</v>
      </c>
      <c r="X85" s="4">
        <f t="shared" si="81"/>
        <v>0</v>
      </c>
      <c r="Y85" s="4">
        <f t="shared" si="82"/>
        <v>0.07042253521126761</v>
      </c>
      <c r="Z85" s="4">
        <f t="shared" si="83"/>
        <v>0</v>
      </c>
      <c r="AA85" s="4">
        <f t="shared" si="84"/>
        <v>0</v>
      </c>
      <c r="AB85" s="4">
        <f t="shared" si="85"/>
        <v>0.010416666666666666</v>
      </c>
      <c r="AC85" s="4">
        <f t="shared" si="86"/>
        <v>7.673955354354204</v>
      </c>
      <c r="AD85" s="4">
        <f t="shared" si="87"/>
        <v>0.019324645645803978</v>
      </c>
      <c r="AE85" s="1">
        <f t="shared" si="88"/>
        <v>7.769558293596321</v>
      </c>
      <c r="AF85" s="1">
        <f t="shared" si="89"/>
        <v>7.774119201877942</v>
      </c>
      <c r="AG85" s="1">
        <f t="shared" si="90"/>
        <v>-0.004560908281620257</v>
      </c>
      <c r="AH85" s="5">
        <f t="shared" si="91"/>
        <v>-0.029342530317862183</v>
      </c>
      <c r="AI85" s="1">
        <f t="shared" si="92"/>
        <v>15.543677495474263</v>
      </c>
      <c r="AJ85" s="7">
        <f t="shared" si="93"/>
        <v>747.9318492065066</v>
      </c>
      <c r="AK85" s="7">
        <f t="shared" si="94"/>
        <v>7.670190483231069</v>
      </c>
      <c r="AL85" s="2">
        <f t="shared" si="95"/>
        <v>694.0079326012394</v>
      </c>
      <c r="AM85" s="16">
        <f t="shared" si="96"/>
        <v>0.46677244640981735</v>
      </c>
      <c r="AN85" s="16">
        <f t="shared" si="97"/>
        <v>103.83394719691097</v>
      </c>
      <c r="AO85" s="16">
        <f t="shared" si="98"/>
        <v>58.93693808437742</v>
      </c>
      <c r="AP85" s="16">
        <f t="shared" si="99"/>
        <v>44.897009112533546</v>
      </c>
      <c r="AQ85" s="16">
        <f t="shared" si="100"/>
        <v>1.9935641562695379</v>
      </c>
      <c r="AR85" s="16">
        <f t="shared" si="101"/>
        <v>1.0076222049992793</v>
      </c>
      <c r="AS85" s="16">
        <f t="shared" si="102"/>
        <v>457.91397609264743</v>
      </c>
      <c r="AT85" s="16">
        <f t="shared" si="103"/>
        <v>349.034700648636</v>
      </c>
    </row>
    <row r="86" spans="1:46" ht="12.75">
      <c r="A86" s="10" t="s">
        <v>241</v>
      </c>
      <c r="C86" s="3">
        <v>7.7</v>
      </c>
      <c r="D86" s="1">
        <v>2</v>
      </c>
      <c r="E86" s="1">
        <v>0.5</v>
      </c>
      <c r="F86" s="1">
        <f t="shared" si="69"/>
        <v>7.2</v>
      </c>
      <c r="G86" s="1">
        <f t="shared" si="70"/>
        <v>144</v>
      </c>
      <c r="J86" s="1">
        <v>2.5</v>
      </c>
      <c r="K86" s="1">
        <v>0</v>
      </c>
      <c r="L86" s="1">
        <v>0</v>
      </c>
      <c r="M86" s="1">
        <v>0.5</v>
      </c>
      <c r="N86" s="1">
        <f t="shared" si="71"/>
        <v>474.68759604978993</v>
      </c>
      <c r="O86" s="1">
        <f t="shared" si="72"/>
        <v>1.1757678198792918</v>
      </c>
      <c r="P86" s="1">
        <f t="shared" si="73"/>
        <v>475.88296000000054</v>
      </c>
      <c r="Q86" s="3">
        <f t="shared" si="74"/>
        <v>7.801360000000009</v>
      </c>
      <c r="R86" s="5">
        <f t="shared" si="75"/>
        <v>499.6541001798067</v>
      </c>
      <c r="S86" s="4">
        <f t="shared" si="76"/>
        <v>0.08658008658008658</v>
      </c>
      <c r="T86" s="4">
        <f t="shared" si="77"/>
        <v>0.01278772378516624</v>
      </c>
      <c r="U86" s="4">
        <f t="shared" si="78"/>
        <v>0.5925925925925926</v>
      </c>
      <c r="V86" s="4">
        <f t="shared" si="79"/>
        <v>7.185628742514971</v>
      </c>
      <c r="W86" s="4">
        <f t="shared" si="80"/>
        <v>0</v>
      </c>
      <c r="X86" s="4">
        <f t="shared" si="81"/>
        <v>0</v>
      </c>
      <c r="Y86" s="4">
        <f t="shared" si="82"/>
        <v>0.07042253521126761</v>
      </c>
      <c r="Z86" s="4">
        <f t="shared" si="83"/>
        <v>0</v>
      </c>
      <c r="AA86" s="4">
        <f t="shared" si="84"/>
        <v>0</v>
      </c>
      <c r="AB86" s="4">
        <f t="shared" si="85"/>
        <v>0.010416666666666666</v>
      </c>
      <c r="AC86" s="4">
        <f t="shared" si="86"/>
        <v>7.781763869668687</v>
      </c>
      <c r="AD86" s="4">
        <f t="shared" si="87"/>
        <v>0.01959613033132153</v>
      </c>
      <c r="AE86" s="1">
        <f t="shared" si="88"/>
        <v>7.877589145472816</v>
      </c>
      <c r="AF86" s="1">
        <f t="shared" si="89"/>
        <v>7.882199201877943</v>
      </c>
      <c r="AG86" s="1">
        <f t="shared" si="90"/>
        <v>-0.00461005640512635</v>
      </c>
      <c r="AH86" s="5">
        <f t="shared" si="91"/>
        <v>-0.029252019783002396</v>
      </c>
      <c r="AI86" s="1">
        <f t="shared" si="92"/>
        <v>15.75978834735076</v>
      </c>
      <c r="AJ86" s="7">
        <f t="shared" si="93"/>
        <v>758.2947344079084</v>
      </c>
      <c r="AK86" s="7">
        <f t="shared" si="94"/>
        <v>7.778221335107563</v>
      </c>
      <c r="AL86" s="2">
        <f t="shared" si="95"/>
        <v>702.8344401581577</v>
      </c>
      <c r="AM86" s="16">
        <f t="shared" si="96"/>
        <v>0.4667719671994952</v>
      </c>
      <c r="AN86" s="16">
        <f t="shared" si="97"/>
        <v>103.83039260619901</v>
      </c>
      <c r="AO86" s="16">
        <f t="shared" si="98"/>
        <v>58.937973066163586</v>
      </c>
      <c r="AP86" s="16">
        <f t="shared" si="99"/>
        <v>44.89241954003542</v>
      </c>
      <c r="AQ86" s="16">
        <f t="shared" si="100"/>
        <v>1.9936529756483377</v>
      </c>
      <c r="AR86" s="16">
        <f t="shared" si="101"/>
        <v>1.007586449150314</v>
      </c>
      <c r="AS86" s="16">
        <f t="shared" si="102"/>
        <v>464.2891368821795</v>
      </c>
      <c r="AT86" s="16">
        <f t="shared" si="103"/>
        <v>353.8509934688369</v>
      </c>
    </row>
    <row r="87" spans="1:46" ht="12.75">
      <c r="A87" s="10" t="s">
        <v>242</v>
      </c>
      <c r="C87" s="3">
        <v>7.7</v>
      </c>
      <c r="D87" s="1">
        <v>2</v>
      </c>
      <c r="E87" s="1">
        <v>0.5</v>
      </c>
      <c r="F87" s="1">
        <f t="shared" si="69"/>
        <v>7.3</v>
      </c>
      <c r="G87" s="1">
        <f t="shared" si="70"/>
        <v>146</v>
      </c>
      <c r="J87" s="1">
        <v>2.5</v>
      </c>
      <c r="K87" s="1">
        <v>0</v>
      </c>
      <c r="L87" s="1">
        <v>0</v>
      </c>
      <c r="M87" s="1">
        <v>0.5</v>
      </c>
      <c r="N87" s="1">
        <f t="shared" si="71"/>
        <v>481.26391548397334</v>
      </c>
      <c r="O87" s="1">
        <f t="shared" si="72"/>
        <v>1.192056901010345</v>
      </c>
      <c r="P87" s="1">
        <f t="shared" si="73"/>
        <v>482.4758400000005</v>
      </c>
      <c r="Q87" s="3">
        <f t="shared" si="74"/>
        <v>7.909440000000009</v>
      </c>
      <c r="R87" s="5">
        <f t="shared" si="75"/>
        <v>506.57630542958793</v>
      </c>
      <c r="S87" s="4">
        <f t="shared" si="76"/>
        <v>0.08658008658008658</v>
      </c>
      <c r="T87" s="4">
        <f t="shared" si="77"/>
        <v>0.01278772378516624</v>
      </c>
      <c r="U87" s="4">
        <f t="shared" si="78"/>
        <v>0.6008230452674896</v>
      </c>
      <c r="V87" s="4">
        <f t="shared" si="79"/>
        <v>7.285429141716567</v>
      </c>
      <c r="W87" s="4">
        <f t="shared" si="80"/>
        <v>0</v>
      </c>
      <c r="X87" s="4">
        <f t="shared" si="81"/>
        <v>0</v>
      </c>
      <c r="Y87" s="4">
        <f t="shared" si="82"/>
        <v>0.07042253521126761</v>
      </c>
      <c r="Z87" s="4">
        <f t="shared" si="83"/>
        <v>0</v>
      </c>
      <c r="AA87" s="4">
        <f t="shared" si="84"/>
        <v>0</v>
      </c>
      <c r="AB87" s="4">
        <f t="shared" si="85"/>
        <v>0.010416666666666666</v>
      </c>
      <c r="AC87" s="4">
        <f t="shared" si="86"/>
        <v>7.889572384983169</v>
      </c>
      <c r="AD87" s="4">
        <f t="shared" si="87"/>
        <v>0.019867615016839084</v>
      </c>
      <c r="AE87" s="1">
        <f t="shared" si="88"/>
        <v>7.98561999734931</v>
      </c>
      <c r="AF87" s="1">
        <f t="shared" si="89"/>
        <v>7.990279201877942</v>
      </c>
      <c r="AG87" s="1">
        <f t="shared" si="90"/>
        <v>-0.0046592045286324435</v>
      </c>
      <c r="AH87" s="5">
        <f t="shared" si="91"/>
        <v>-0.02916395797525943</v>
      </c>
      <c r="AI87" s="1">
        <f t="shared" si="92"/>
        <v>15.975899199227252</v>
      </c>
      <c r="AJ87" s="7">
        <f t="shared" si="93"/>
        <v>768.6576196093101</v>
      </c>
      <c r="AK87" s="7">
        <f t="shared" si="94"/>
        <v>7.8862521869840565</v>
      </c>
      <c r="AL87" s="2">
        <f t="shared" si="95"/>
        <v>711.6446683378098</v>
      </c>
      <c r="AM87" s="16">
        <f t="shared" si="96"/>
        <v>0.46677150337275713</v>
      </c>
      <c r="AN87" s="16">
        <f t="shared" si="97"/>
        <v>103.82693417377799</v>
      </c>
      <c r="AO87" s="16">
        <f t="shared" si="98"/>
        <v>58.93898004512367</v>
      </c>
      <c r="AP87" s="16">
        <f t="shared" si="99"/>
        <v>44.887954128654314</v>
      </c>
      <c r="AQ87" s="16">
        <f t="shared" si="100"/>
        <v>1.9937393768541474</v>
      </c>
      <c r="AR87" s="16">
        <f t="shared" si="101"/>
        <v>1.0075516593679672</v>
      </c>
      <c r="AS87" s="16">
        <f t="shared" si="102"/>
        <v>470.6642976717115</v>
      </c>
      <c r="AT87" s="16">
        <f t="shared" si="103"/>
        <v>358.6672862890377</v>
      </c>
    </row>
    <row r="88" spans="1:46" ht="12.75">
      <c r="A88" s="10" t="s">
        <v>243</v>
      </c>
      <c r="C88" s="3">
        <v>7.7</v>
      </c>
      <c r="D88" s="1">
        <v>2</v>
      </c>
      <c r="E88" s="1">
        <v>0.5</v>
      </c>
      <c r="F88" s="1">
        <f t="shared" si="69"/>
        <v>7.4</v>
      </c>
      <c r="G88" s="1">
        <f t="shared" si="70"/>
        <v>148</v>
      </c>
      <c r="J88" s="1">
        <v>2.5</v>
      </c>
      <c r="K88" s="1">
        <v>0</v>
      </c>
      <c r="L88" s="1">
        <v>0</v>
      </c>
      <c r="M88" s="1">
        <v>0.5</v>
      </c>
      <c r="N88" s="1">
        <f t="shared" si="71"/>
        <v>487.84023491815674</v>
      </c>
      <c r="O88" s="1">
        <f t="shared" si="72"/>
        <v>1.2083459821413982</v>
      </c>
      <c r="P88" s="1">
        <f t="shared" si="73"/>
        <v>489.0687200000005</v>
      </c>
      <c r="Q88" s="3">
        <f t="shared" si="74"/>
        <v>8.017520000000008</v>
      </c>
      <c r="R88" s="5">
        <f t="shared" si="75"/>
        <v>513.4985106793691</v>
      </c>
      <c r="S88" s="4">
        <f t="shared" si="76"/>
        <v>0.08658008658008658</v>
      </c>
      <c r="T88" s="4">
        <f t="shared" si="77"/>
        <v>0.01278772378516624</v>
      </c>
      <c r="U88" s="4">
        <f t="shared" si="78"/>
        <v>0.6090534979423868</v>
      </c>
      <c r="V88" s="4">
        <f t="shared" si="79"/>
        <v>7.385229540918164</v>
      </c>
      <c r="W88" s="4">
        <f t="shared" si="80"/>
        <v>0</v>
      </c>
      <c r="X88" s="4">
        <f t="shared" si="81"/>
        <v>0</v>
      </c>
      <c r="Y88" s="4">
        <f t="shared" si="82"/>
        <v>0.07042253521126761</v>
      </c>
      <c r="Z88" s="4">
        <f t="shared" si="83"/>
        <v>0</v>
      </c>
      <c r="AA88" s="4">
        <f t="shared" si="84"/>
        <v>0</v>
      </c>
      <c r="AB88" s="4">
        <f t="shared" si="85"/>
        <v>0.010416666666666666</v>
      </c>
      <c r="AC88" s="4">
        <f t="shared" si="86"/>
        <v>7.997380900297651</v>
      </c>
      <c r="AD88" s="4">
        <f t="shared" si="87"/>
        <v>0.020139099702356635</v>
      </c>
      <c r="AE88" s="1">
        <f t="shared" si="88"/>
        <v>8.093650849225805</v>
      </c>
      <c r="AF88" s="1">
        <f t="shared" si="89"/>
        <v>8.098359201877942</v>
      </c>
      <c r="AG88" s="1">
        <f t="shared" si="90"/>
        <v>-0.004708352652137648</v>
      </c>
      <c r="AH88" s="5">
        <f t="shared" si="91"/>
        <v>-0.029078246846917552</v>
      </c>
      <c r="AI88" s="1">
        <f t="shared" si="92"/>
        <v>16.192010051103747</v>
      </c>
      <c r="AJ88" s="7">
        <f t="shared" si="93"/>
        <v>779.0205048107115</v>
      </c>
      <c r="AK88" s="7">
        <f t="shared" si="94"/>
        <v>7.9942830388605515</v>
      </c>
      <c r="AL88" s="2">
        <f t="shared" si="95"/>
        <v>720.4387276760697</v>
      </c>
      <c r="AM88" s="16">
        <f t="shared" si="96"/>
        <v>0.46677105421815035</v>
      </c>
      <c r="AN88" s="16">
        <f t="shared" si="97"/>
        <v>103.82356804982935</v>
      </c>
      <c r="AO88" s="16">
        <f t="shared" si="98"/>
        <v>58.9399601425696</v>
      </c>
      <c r="AP88" s="16">
        <f t="shared" si="99"/>
        <v>44.883607907259744</v>
      </c>
      <c r="AQ88" s="16">
        <f t="shared" si="100"/>
        <v>1.9938234573154956</v>
      </c>
      <c r="AR88" s="16">
        <f t="shared" si="101"/>
        <v>1.007517797021713</v>
      </c>
      <c r="AS88" s="16">
        <f t="shared" si="102"/>
        <v>477.03945846124356</v>
      </c>
      <c r="AT88" s="16">
        <f t="shared" si="103"/>
        <v>363.4835791092385</v>
      </c>
    </row>
    <row r="89" spans="1:46" ht="12.75">
      <c r="A89" s="10" t="s">
        <v>244</v>
      </c>
      <c r="C89" s="3">
        <v>7.7</v>
      </c>
      <c r="D89" s="1">
        <v>2</v>
      </c>
      <c r="E89" s="1">
        <v>0.5</v>
      </c>
      <c r="F89" s="1">
        <f t="shared" si="69"/>
        <v>7.5</v>
      </c>
      <c r="G89" s="1">
        <f t="shared" si="70"/>
        <v>150</v>
      </c>
      <c r="J89" s="1">
        <v>2.5</v>
      </c>
      <c r="K89" s="1">
        <v>0</v>
      </c>
      <c r="L89" s="1">
        <v>0</v>
      </c>
      <c r="M89" s="1">
        <v>0.5</v>
      </c>
      <c r="N89" s="1">
        <f t="shared" si="71"/>
        <v>494.41655435234014</v>
      </c>
      <c r="O89" s="1">
        <f t="shared" si="72"/>
        <v>1.2246350632724514</v>
      </c>
      <c r="P89" s="1">
        <f t="shared" si="73"/>
        <v>495.6616000000005</v>
      </c>
      <c r="Q89" s="3">
        <f t="shared" si="74"/>
        <v>8.125600000000007</v>
      </c>
      <c r="R89" s="5">
        <f t="shared" si="75"/>
        <v>520.4207159291503</v>
      </c>
      <c r="S89" s="4">
        <f t="shared" si="76"/>
        <v>0.08658008658008658</v>
      </c>
      <c r="T89" s="4">
        <f t="shared" si="77"/>
        <v>0.01278772378516624</v>
      </c>
      <c r="U89" s="4">
        <f t="shared" si="78"/>
        <v>0.6172839506172839</v>
      </c>
      <c r="V89" s="4">
        <f t="shared" si="79"/>
        <v>7.485029940119761</v>
      </c>
      <c r="W89" s="4">
        <f t="shared" si="80"/>
        <v>0</v>
      </c>
      <c r="X89" s="4">
        <f t="shared" si="81"/>
        <v>0</v>
      </c>
      <c r="Y89" s="4">
        <f t="shared" si="82"/>
        <v>0.07042253521126761</v>
      </c>
      <c r="Z89" s="4">
        <f t="shared" si="83"/>
        <v>0</v>
      </c>
      <c r="AA89" s="4">
        <f t="shared" si="84"/>
        <v>0</v>
      </c>
      <c r="AB89" s="4">
        <f t="shared" si="85"/>
        <v>0.010416666666666666</v>
      </c>
      <c r="AC89" s="4">
        <f t="shared" si="86"/>
        <v>8.105189415612134</v>
      </c>
      <c r="AD89" s="4">
        <f t="shared" si="87"/>
        <v>0.02041058438787419</v>
      </c>
      <c r="AE89" s="1">
        <f t="shared" si="88"/>
        <v>8.201681701102297</v>
      </c>
      <c r="AF89" s="1">
        <f t="shared" si="89"/>
        <v>8.206439201877943</v>
      </c>
      <c r="AG89" s="1">
        <f t="shared" si="90"/>
        <v>-0.004757500775646406</v>
      </c>
      <c r="AH89" s="5">
        <f t="shared" si="91"/>
        <v>-0.028994793515827226</v>
      </c>
      <c r="AI89" s="1">
        <f t="shared" si="92"/>
        <v>16.40812090298024</v>
      </c>
      <c r="AJ89" s="7">
        <f t="shared" si="93"/>
        <v>789.3833900121132</v>
      </c>
      <c r="AK89" s="7">
        <f t="shared" si="94"/>
        <v>8.102313890737044</v>
      </c>
      <c r="AL89" s="2">
        <f t="shared" si="95"/>
        <v>729.2167264874531</v>
      </c>
      <c r="AM89" s="16">
        <f t="shared" si="96"/>
        <v>0.4667706190666655</v>
      </c>
      <c r="AN89" s="16">
        <f t="shared" si="97"/>
        <v>103.82029058733784</v>
      </c>
      <c r="AO89" s="16">
        <f t="shared" si="98"/>
        <v>58.940914420734615</v>
      </c>
      <c r="AP89" s="16">
        <f t="shared" si="99"/>
        <v>44.87937616660323</v>
      </c>
      <c r="AQ89" s="16">
        <f t="shared" si="100"/>
        <v>1.9939053092963919</v>
      </c>
      <c r="AR89" s="16">
        <f t="shared" si="101"/>
        <v>1.007484825513582</v>
      </c>
      <c r="AS89" s="16">
        <f t="shared" si="102"/>
        <v>483.41461925077556</v>
      </c>
      <c r="AT89" s="16">
        <f t="shared" si="103"/>
        <v>368.2998719294394</v>
      </c>
    </row>
    <row r="90" spans="1:46" ht="12.75">
      <c r="A90" s="10" t="s">
        <v>245</v>
      </c>
      <c r="C90" s="3">
        <v>7.7</v>
      </c>
      <c r="D90" s="1">
        <v>2</v>
      </c>
      <c r="E90" s="1">
        <v>0.5</v>
      </c>
      <c r="F90" s="1">
        <f t="shared" si="69"/>
        <v>7.6</v>
      </c>
      <c r="G90" s="1">
        <f t="shared" si="70"/>
        <v>152</v>
      </c>
      <c r="J90" s="1">
        <v>2.5</v>
      </c>
      <c r="K90" s="1">
        <v>0</v>
      </c>
      <c r="L90" s="1">
        <v>0</v>
      </c>
      <c r="M90" s="1">
        <v>0.5</v>
      </c>
      <c r="N90" s="1">
        <f t="shared" si="71"/>
        <v>500.9928737865235</v>
      </c>
      <c r="O90" s="1">
        <f t="shared" si="72"/>
        <v>1.2409241444035044</v>
      </c>
      <c r="P90" s="1">
        <f t="shared" si="73"/>
        <v>502.2544800000004</v>
      </c>
      <c r="Q90" s="3">
        <f t="shared" si="74"/>
        <v>8.233680000000007</v>
      </c>
      <c r="R90" s="5">
        <f t="shared" si="75"/>
        <v>527.3429211789315</v>
      </c>
      <c r="S90" s="4">
        <f t="shared" si="76"/>
        <v>0.08658008658008658</v>
      </c>
      <c r="T90" s="4">
        <f t="shared" si="77"/>
        <v>0.01278772378516624</v>
      </c>
      <c r="U90" s="4">
        <f t="shared" si="78"/>
        <v>0.625514403292181</v>
      </c>
      <c r="V90" s="4">
        <f t="shared" si="79"/>
        <v>7.584830339321358</v>
      </c>
      <c r="W90" s="4">
        <f t="shared" si="80"/>
        <v>0</v>
      </c>
      <c r="X90" s="4">
        <f t="shared" si="81"/>
        <v>0</v>
      </c>
      <c r="Y90" s="4">
        <f t="shared" si="82"/>
        <v>0.07042253521126761</v>
      </c>
      <c r="Z90" s="4">
        <f t="shared" si="83"/>
        <v>0</v>
      </c>
      <c r="AA90" s="4">
        <f t="shared" si="84"/>
        <v>0</v>
      </c>
      <c r="AB90" s="4">
        <f t="shared" si="85"/>
        <v>0.010416666666666666</v>
      </c>
      <c r="AC90" s="4">
        <f t="shared" si="86"/>
        <v>8.212997930926615</v>
      </c>
      <c r="AD90" s="4">
        <f t="shared" si="87"/>
        <v>0.02068206907339174</v>
      </c>
      <c r="AE90" s="1">
        <f t="shared" si="88"/>
        <v>8.309712552978791</v>
      </c>
      <c r="AF90" s="1">
        <f t="shared" si="89"/>
        <v>8.31451920187794</v>
      </c>
      <c r="AG90" s="1">
        <f t="shared" si="90"/>
        <v>-0.004806648899149835</v>
      </c>
      <c r="AH90" s="5">
        <f t="shared" si="91"/>
        <v>-0.028913509929537545</v>
      </c>
      <c r="AI90" s="1">
        <f t="shared" si="92"/>
        <v>16.62423175485673</v>
      </c>
      <c r="AJ90" s="7">
        <f t="shared" si="93"/>
        <v>799.7462752135148</v>
      </c>
      <c r="AK90" s="7">
        <f t="shared" si="94"/>
        <v>8.21034474261354</v>
      </c>
      <c r="AL90" s="2">
        <f t="shared" si="95"/>
        <v>737.978770938535</v>
      </c>
      <c r="AM90" s="16">
        <f t="shared" si="96"/>
        <v>0.4667701972886595</v>
      </c>
      <c r="AN90" s="16">
        <f t="shared" si="97"/>
        <v>103.81709832891082</v>
      </c>
      <c r="AO90" s="16">
        <f t="shared" si="98"/>
        <v>58.94184388661341</v>
      </c>
      <c r="AP90" s="16">
        <f t="shared" si="99"/>
        <v>44.87525444229741</v>
      </c>
      <c r="AQ90" s="16">
        <f t="shared" si="100"/>
        <v>1.9939850202340543</v>
      </c>
      <c r="AR90" s="16">
        <f t="shared" si="101"/>
        <v>1.007452710146215</v>
      </c>
      <c r="AS90" s="16">
        <f t="shared" si="102"/>
        <v>489.7897800403077</v>
      </c>
      <c r="AT90" s="16">
        <f t="shared" si="103"/>
        <v>373.1161647496402</v>
      </c>
    </row>
    <row r="91" spans="1:46" ht="12.75">
      <c r="A91" s="10" t="s">
        <v>246</v>
      </c>
      <c r="C91" s="3">
        <v>7.7</v>
      </c>
      <c r="D91" s="1">
        <v>2</v>
      </c>
      <c r="E91" s="1">
        <v>0.5</v>
      </c>
      <c r="F91" s="1">
        <f t="shared" si="69"/>
        <v>7.7</v>
      </c>
      <c r="G91" s="1">
        <f t="shared" si="70"/>
        <v>154</v>
      </c>
      <c r="J91" s="1">
        <v>2.5</v>
      </c>
      <c r="K91" s="1">
        <v>0</v>
      </c>
      <c r="L91" s="1">
        <v>0</v>
      </c>
      <c r="M91" s="1">
        <v>0.5</v>
      </c>
      <c r="N91" s="1">
        <f t="shared" si="71"/>
        <v>507.5691932207069</v>
      </c>
      <c r="O91" s="1">
        <f t="shared" si="72"/>
        <v>1.2572132255345576</v>
      </c>
      <c r="P91" s="1">
        <f t="shared" si="73"/>
        <v>508.8473600000004</v>
      </c>
      <c r="Q91" s="3">
        <f t="shared" si="74"/>
        <v>8.341760000000006</v>
      </c>
      <c r="R91" s="5">
        <f t="shared" si="75"/>
        <v>534.2651264287127</v>
      </c>
      <c r="S91" s="4">
        <f t="shared" si="76"/>
        <v>0.08658008658008658</v>
      </c>
      <c r="T91" s="4">
        <f t="shared" si="77"/>
        <v>0.01278772378516624</v>
      </c>
      <c r="U91" s="4">
        <f t="shared" si="78"/>
        <v>0.6337448559670782</v>
      </c>
      <c r="V91" s="4">
        <f t="shared" si="79"/>
        <v>7.684630738522954</v>
      </c>
      <c r="W91" s="4">
        <f t="shared" si="80"/>
        <v>0</v>
      </c>
      <c r="X91" s="4">
        <f t="shared" si="81"/>
        <v>0</v>
      </c>
      <c r="Y91" s="4">
        <f t="shared" si="82"/>
        <v>0.07042253521126761</v>
      </c>
      <c r="Z91" s="4">
        <f t="shared" si="83"/>
        <v>0</v>
      </c>
      <c r="AA91" s="4">
        <f t="shared" si="84"/>
        <v>0</v>
      </c>
      <c r="AB91" s="4">
        <f t="shared" si="85"/>
        <v>0.010416666666666666</v>
      </c>
      <c r="AC91" s="4">
        <f t="shared" si="86"/>
        <v>8.320806446241097</v>
      </c>
      <c r="AD91" s="4">
        <f t="shared" si="87"/>
        <v>0.020953553758909293</v>
      </c>
      <c r="AE91" s="1">
        <f t="shared" si="88"/>
        <v>8.417743404855285</v>
      </c>
      <c r="AF91" s="1">
        <f t="shared" si="89"/>
        <v>8.42259920187794</v>
      </c>
      <c r="AG91" s="1">
        <f t="shared" si="90"/>
        <v>-0.0048557970226550395</v>
      </c>
      <c r="AH91" s="5">
        <f t="shared" si="91"/>
        <v>-0.028834312555574497</v>
      </c>
      <c r="AI91" s="1">
        <f t="shared" si="92"/>
        <v>16.840342606733223</v>
      </c>
      <c r="AJ91" s="7">
        <f t="shared" si="93"/>
        <v>810.1091604149165</v>
      </c>
      <c r="AK91" s="7">
        <f t="shared" si="94"/>
        <v>8.318375594490032</v>
      </c>
      <c r="AL91" s="2">
        <f t="shared" si="95"/>
        <v>746.7249651180111</v>
      </c>
      <c r="AM91" s="16">
        <f t="shared" si="96"/>
        <v>0.46676978829104065</v>
      </c>
      <c r="AN91" s="16">
        <f t="shared" si="97"/>
        <v>103.81398799461235</v>
      </c>
      <c r="AO91" s="16">
        <f t="shared" si="98"/>
        <v>58.94274949550682</v>
      </c>
      <c r="AP91" s="16">
        <f t="shared" si="99"/>
        <v>44.87123849910552</v>
      </c>
      <c r="AQ91" s="16">
        <f t="shared" si="100"/>
        <v>1.9940626730504758</v>
      </c>
      <c r="AR91" s="16">
        <f t="shared" si="101"/>
        <v>1.007421418001067</v>
      </c>
      <c r="AS91" s="16">
        <f t="shared" si="102"/>
        <v>496.1649408298397</v>
      </c>
      <c r="AT91" s="16">
        <f t="shared" si="103"/>
        <v>377.9324575698409</v>
      </c>
    </row>
    <row r="92" spans="1:46" ht="12.75">
      <c r="A92" s="10" t="s">
        <v>247</v>
      </c>
      <c r="C92" s="3">
        <v>7.7</v>
      </c>
      <c r="D92" s="1">
        <v>2</v>
      </c>
      <c r="E92" s="1">
        <v>0.5</v>
      </c>
      <c r="F92" s="1">
        <f t="shared" si="69"/>
        <v>7.8</v>
      </c>
      <c r="G92" s="1">
        <f t="shared" si="70"/>
        <v>156</v>
      </c>
      <c r="J92" s="1">
        <v>2.5</v>
      </c>
      <c r="K92" s="1">
        <v>0</v>
      </c>
      <c r="L92" s="1">
        <v>0</v>
      </c>
      <c r="M92" s="1">
        <v>0.5</v>
      </c>
      <c r="N92" s="1">
        <f t="shared" si="71"/>
        <v>514.1455126548904</v>
      </c>
      <c r="O92" s="1">
        <f t="shared" si="72"/>
        <v>1.2735023066656108</v>
      </c>
      <c r="P92" s="1">
        <f t="shared" si="73"/>
        <v>515.4402400000004</v>
      </c>
      <c r="Q92" s="3">
        <f t="shared" si="74"/>
        <v>8.449840000000005</v>
      </c>
      <c r="R92" s="5">
        <f t="shared" si="75"/>
        <v>541.187331678494</v>
      </c>
      <c r="S92" s="4">
        <f t="shared" si="76"/>
        <v>0.08658008658008658</v>
      </c>
      <c r="T92" s="4">
        <f t="shared" si="77"/>
        <v>0.01278772378516624</v>
      </c>
      <c r="U92" s="4">
        <f t="shared" si="78"/>
        <v>0.6419753086419753</v>
      </c>
      <c r="V92" s="4">
        <f t="shared" si="79"/>
        <v>7.784431137724551</v>
      </c>
      <c r="W92" s="4">
        <f t="shared" si="80"/>
        <v>0</v>
      </c>
      <c r="X92" s="4">
        <f t="shared" si="81"/>
        <v>0</v>
      </c>
      <c r="Y92" s="4">
        <f t="shared" si="82"/>
        <v>0.07042253521126761</v>
      </c>
      <c r="Z92" s="4">
        <f t="shared" si="83"/>
        <v>0</v>
      </c>
      <c r="AA92" s="4">
        <f t="shared" si="84"/>
        <v>0</v>
      </c>
      <c r="AB92" s="4">
        <f t="shared" si="85"/>
        <v>0.010416666666666666</v>
      </c>
      <c r="AC92" s="4">
        <f t="shared" si="86"/>
        <v>8.42861496155558</v>
      </c>
      <c r="AD92" s="4">
        <f t="shared" si="87"/>
        <v>0.021225038444426848</v>
      </c>
      <c r="AE92" s="1">
        <f t="shared" si="88"/>
        <v>8.52577425673178</v>
      </c>
      <c r="AF92" s="1">
        <f t="shared" si="89"/>
        <v>8.530679201877941</v>
      </c>
      <c r="AG92" s="1">
        <f t="shared" si="90"/>
        <v>-0.004904945146162021</v>
      </c>
      <c r="AH92" s="5">
        <f t="shared" si="91"/>
        <v>-0.02875712209495763</v>
      </c>
      <c r="AI92" s="1">
        <f t="shared" si="92"/>
        <v>17.05645345860972</v>
      </c>
      <c r="AJ92" s="7">
        <f t="shared" si="93"/>
        <v>820.4720456163182</v>
      </c>
      <c r="AK92" s="7">
        <f t="shared" si="94"/>
        <v>8.426406446366526</v>
      </c>
      <c r="AL92" s="2">
        <f t="shared" si="95"/>
        <v>755.4554111036047</v>
      </c>
      <c r="AM92" s="16">
        <f t="shared" si="96"/>
        <v>0.4667693915146873</v>
      </c>
      <c r="AN92" s="16">
        <f t="shared" si="97"/>
        <v>103.81095647072218</v>
      </c>
      <c r="AO92" s="16">
        <f t="shared" si="98"/>
        <v>58.94363215429687</v>
      </c>
      <c r="AP92" s="16">
        <f t="shared" si="99"/>
        <v>44.86732431642531</v>
      </c>
      <c r="AQ92" s="16">
        <f t="shared" si="100"/>
        <v>1.9941383464401667</v>
      </c>
      <c r="AR92" s="16">
        <f t="shared" si="101"/>
        <v>1.0073909178258589</v>
      </c>
      <c r="AS92" s="16">
        <f t="shared" si="102"/>
        <v>502.5401016193718</v>
      </c>
      <c r="AT92" s="16">
        <f t="shared" si="103"/>
        <v>382.74875039004183</v>
      </c>
    </row>
    <row r="93" spans="1:46" ht="12.75">
      <c r="A93" s="10" t="s">
        <v>248</v>
      </c>
      <c r="C93" s="3">
        <v>7.7</v>
      </c>
      <c r="D93" s="1">
        <v>2</v>
      </c>
      <c r="E93" s="1">
        <v>0.5</v>
      </c>
      <c r="F93" s="1">
        <f t="shared" si="69"/>
        <v>7.9</v>
      </c>
      <c r="G93" s="1">
        <f t="shared" si="70"/>
        <v>158</v>
      </c>
      <c r="J93" s="1">
        <v>2.5</v>
      </c>
      <c r="K93" s="1">
        <v>0</v>
      </c>
      <c r="L93" s="1">
        <v>0</v>
      </c>
      <c r="M93" s="1">
        <v>0.5</v>
      </c>
      <c r="N93" s="1">
        <f t="shared" si="71"/>
        <v>520.7218320890737</v>
      </c>
      <c r="O93" s="1">
        <f t="shared" si="72"/>
        <v>1.289791387796664</v>
      </c>
      <c r="P93" s="1">
        <f t="shared" si="73"/>
        <v>522.0331200000003</v>
      </c>
      <c r="Q93" s="3">
        <f t="shared" si="74"/>
        <v>8.557920000000005</v>
      </c>
      <c r="R93" s="5">
        <f t="shared" si="75"/>
        <v>548.1095369282751</v>
      </c>
      <c r="S93" s="4">
        <f t="shared" si="76"/>
        <v>0.08658008658008658</v>
      </c>
      <c r="T93" s="4">
        <f t="shared" si="77"/>
        <v>0.01278772378516624</v>
      </c>
      <c r="U93" s="4">
        <f t="shared" si="78"/>
        <v>0.6502057613168725</v>
      </c>
      <c r="V93" s="4">
        <f t="shared" si="79"/>
        <v>7.884231536926148</v>
      </c>
      <c r="W93" s="4">
        <f t="shared" si="80"/>
        <v>0</v>
      </c>
      <c r="X93" s="4">
        <f t="shared" si="81"/>
        <v>0</v>
      </c>
      <c r="Y93" s="4">
        <f t="shared" si="82"/>
        <v>0.07042253521126761</v>
      </c>
      <c r="Z93" s="4">
        <f t="shared" si="83"/>
        <v>0</v>
      </c>
      <c r="AA93" s="4">
        <f t="shared" si="84"/>
        <v>0</v>
      </c>
      <c r="AB93" s="4">
        <f t="shared" si="85"/>
        <v>0.010416666666666666</v>
      </c>
      <c r="AC93" s="4">
        <f t="shared" si="86"/>
        <v>8.53642347687006</v>
      </c>
      <c r="AD93" s="4">
        <f t="shared" si="87"/>
        <v>0.0214965231299444</v>
      </c>
      <c r="AE93" s="1">
        <f t="shared" si="88"/>
        <v>8.633805108608273</v>
      </c>
      <c r="AF93" s="1">
        <f t="shared" si="89"/>
        <v>8.638759201877939</v>
      </c>
      <c r="AG93" s="1">
        <f t="shared" si="90"/>
        <v>-0.004954093269665449</v>
      </c>
      <c r="AH93" s="5">
        <f t="shared" si="91"/>
        <v>-0.02868186321736726</v>
      </c>
      <c r="AI93" s="1">
        <f t="shared" si="92"/>
        <v>17.27256431048621</v>
      </c>
      <c r="AJ93" s="7">
        <f t="shared" si="93"/>
        <v>830.8349308177196</v>
      </c>
      <c r="AK93" s="7">
        <f t="shared" si="94"/>
        <v>8.53443729824302</v>
      </c>
      <c r="AL93" s="2">
        <f t="shared" si="95"/>
        <v>764.1702090259912</v>
      </c>
      <c r="AM93" s="16">
        <f t="shared" si="96"/>
        <v>0.46676900643208263</v>
      </c>
      <c r="AN93" s="16">
        <f t="shared" si="97"/>
        <v>103.80800079933834</v>
      </c>
      <c r="AO93" s="16">
        <f t="shared" si="98"/>
        <v>58.944492724475964</v>
      </c>
      <c r="AP93" s="16">
        <f t="shared" si="99"/>
        <v>44.863508074862374</v>
      </c>
      <c r="AQ93" s="16">
        <f t="shared" si="100"/>
        <v>1.9942121151361658</v>
      </c>
      <c r="AR93" s="16">
        <f t="shared" si="101"/>
        <v>1.0073611799304638</v>
      </c>
      <c r="AS93" s="16">
        <f t="shared" si="102"/>
        <v>508.9152624089038</v>
      </c>
      <c r="AT93" s="16">
        <f t="shared" si="103"/>
        <v>387.56504321024255</v>
      </c>
    </row>
    <row r="94" spans="1:46" ht="12.75">
      <c r="A94" s="10" t="s">
        <v>249</v>
      </c>
      <c r="C94" s="3">
        <v>7.7</v>
      </c>
      <c r="D94" s="1">
        <v>2</v>
      </c>
      <c r="E94" s="1">
        <v>0.5</v>
      </c>
      <c r="F94" s="1">
        <f t="shared" si="69"/>
        <v>8</v>
      </c>
      <c r="G94" s="1">
        <f t="shared" si="70"/>
        <v>160</v>
      </c>
      <c r="J94" s="1">
        <v>2.5</v>
      </c>
      <c r="K94" s="1">
        <v>0</v>
      </c>
      <c r="L94" s="1">
        <v>0</v>
      </c>
      <c r="M94" s="1">
        <v>0.5</v>
      </c>
      <c r="N94" s="1">
        <f t="shared" si="71"/>
        <v>527.298151523257</v>
      </c>
      <c r="O94" s="1">
        <f t="shared" si="72"/>
        <v>1.3060804689277172</v>
      </c>
      <c r="P94" s="1">
        <f t="shared" si="73"/>
        <v>528.6260000000002</v>
      </c>
      <c r="Q94" s="3">
        <f t="shared" si="74"/>
        <v>8.666000000000004</v>
      </c>
      <c r="R94" s="5">
        <f t="shared" si="75"/>
        <v>555.0317421780563</v>
      </c>
      <c r="S94" s="4">
        <f t="shared" si="76"/>
        <v>0.08658008658008658</v>
      </c>
      <c r="T94" s="4">
        <f t="shared" si="77"/>
        <v>0.01278772378516624</v>
      </c>
      <c r="U94" s="4">
        <f t="shared" si="78"/>
        <v>0.6584362139917695</v>
      </c>
      <c r="V94" s="4">
        <f t="shared" si="79"/>
        <v>7.984031936127745</v>
      </c>
      <c r="W94" s="4">
        <f t="shared" si="80"/>
        <v>0</v>
      </c>
      <c r="X94" s="4">
        <f t="shared" si="81"/>
        <v>0</v>
      </c>
      <c r="Y94" s="4">
        <f t="shared" si="82"/>
        <v>0.07042253521126761</v>
      </c>
      <c r="Z94" s="4">
        <f t="shared" si="83"/>
        <v>0</v>
      </c>
      <c r="AA94" s="4">
        <f t="shared" si="84"/>
        <v>0</v>
      </c>
      <c r="AB94" s="4">
        <f t="shared" si="85"/>
        <v>0.010416666666666666</v>
      </c>
      <c r="AC94" s="4">
        <f t="shared" si="86"/>
        <v>8.644231992184542</v>
      </c>
      <c r="AD94" s="4">
        <f t="shared" si="87"/>
        <v>0.021768007815461954</v>
      </c>
      <c r="AE94" s="1">
        <f t="shared" si="88"/>
        <v>8.741835960484767</v>
      </c>
      <c r="AF94" s="1">
        <f t="shared" si="89"/>
        <v>8.746839201877938</v>
      </c>
      <c r="AG94" s="1">
        <f t="shared" si="90"/>
        <v>-0.005003241393170654</v>
      </c>
      <c r="AH94" s="5">
        <f t="shared" si="91"/>
        <v>-0.02860846431602839</v>
      </c>
      <c r="AI94" s="1">
        <f t="shared" si="92"/>
        <v>17.488675162362703</v>
      </c>
      <c r="AJ94" s="7">
        <f t="shared" si="93"/>
        <v>841.1978160191212</v>
      </c>
      <c r="AK94" s="7">
        <f t="shared" si="94"/>
        <v>8.642468150119514</v>
      </c>
      <c r="AL94" s="2">
        <f t="shared" si="95"/>
        <v>772.869457129919</v>
      </c>
      <c r="AM94" s="16">
        <f t="shared" si="96"/>
        <v>0.4667686325451403</v>
      </c>
      <c r="AN94" s="16">
        <f t="shared" si="97"/>
        <v>103.80511816875072</v>
      </c>
      <c r="AO94" s="16">
        <f t="shared" si="98"/>
        <v>58.945332024951554</v>
      </c>
      <c r="AP94" s="16">
        <f t="shared" si="99"/>
        <v>44.85978614379917</v>
      </c>
      <c r="AQ94" s="16">
        <f t="shared" si="100"/>
        <v>1.9942840501562185</v>
      </c>
      <c r="AR94" s="16">
        <f t="shared" si="101"/>
        <v>1.0073321760905094</v>
      </c>
      <c r="AS94" s="16">
        <f t="shared" si="102"/>
        <v>515.2904231984359</v>
      </c>
      <c r="AT94" s="16">
        <f t="shared" si="103"/>
        <v>392.3813360304433</v>
      </c>
    </row>
    <row r="95" spans="1:46" ht="12.75">
      <c r="A95" s="10" t="s">
        <v>250</v>
      </c>
      <c r="C95" s="3">
        <v>7.7</v>
      </c>
      <c r="D95" s="1">
        <v>2</v>
      </c>
      <c r="E95" s="1">
        <v>0.5</v>
      </c>
      <c r="F95" s="1">
        <f t="shared" si="69"/>
        <v>8.1</v>
      </c>
      <c r="G95" s="1">
        <f t="shared" si="70"/>
        <v>162</v>
      </c>
      <c r="J95" s="1">
        <v>2.5</v>
      </c>
      <c r="K95" s="1">
        <v>0</v>
      </c>
      <c r="L95" s="1">
        <v>0</v>
      </c>
      <c r="M95" s="1">
        <v>0.5</v>
      </c>
      <c r="N95" s="1">
        <f t="shared" si="71"/>
        <v>533.8744709574405</v>
      </c>
      <c r="O95" s="1">
        <f t="shared" si="72"/>
        <v>1.3223695500587704</v>
      </c>
      <c r="P95" s="1">
        <f t="shared" si="73"/>
        <v>535.2188800000002</v>
      </c>
      <c r="Q95" s="3">
        <f t="shared" si="74"/>
        <v>8.774080000000003</v>
      </c>
      <c r="R95" s="5">
        <f t="shared" si="75"/>
        <v>561.9539474278376</v>
      </c>
      <c r="S95" s="4">
        <f t="shared" si="76"/>
        <v>0.08658008658008658</v>
      </c>
      <c r="T95" s="4">
        <f t="shared" si="77"/>
        <v>0.01278772378516624</v>
      </c>
      <c r="U95" s="4">
        <f t="shared" si="78"/>
        <v>0.6666666666666666</v>
      </c>
      <c r="V95" s="4">
        <f t="shared" si="79"/>
        <v>8.083832335329342</v>
      </c>
      <c r="W95" s="4">
        <f t="shared" si="80"/>
        <v>0</v>
      </c>
      <c r="X95" s="4">
        <f t="shared" si="81"/>
        <v>0</v>
      </c>
      <c r="Y95" s="4">
        <f t="shared" si="82"/>
        <v>0.07042253521126761</v>
      </c>
      <c r="Z95" s="4">
        <f t="shared" si="83"/>
        <v>0</v>
      </c>
      <c r="AA95" s="4">
        <f t="shared" si="84"/>
        <v>0</v>
      </c>
      <c r="AB95" s="4">
        <f t="shared" si="85"/>
        <v>0.010416666666666666</v>
      </c>
      <c r="AC95" s="4">
        <f t="shared" si="86"/>
        <v>8.752040507499025</v>
      </c>
      <c r="AD95" s="4">
        <f t="shared" si="87"/>
        <v>0.02203949250097951</v>
      </c>
      <c r="AE95" s="1">
        <f t="shared" si="88"/>
        <v>8.849866812361261</v>
      </c>
      <c r="AF95" s="1">
        <f t="shared" si="89"/>
        <v>8.854919201877939</v>
      </c>
      <c r="AG95" s="1">
        <f t="shared" si="90"/>
        <v>-0.005052389516677636</v>
      </c>
      <c r="AH95" s="5">
        <f t="shared" si="91"/>
        <v>-0.028536857280365972</v>
      </c>
      <c r="AI95" s="1">
        <f t="shared" si="92"/>
        <v>17.7047860142392</v>
      </c>
      <c r="AJ95" s="7">
        <f t="shared" si="93"/>
        <v>851.5607012205228</v>
      </c>
      <c r="AK95" s="7">
        <f t="shared" si="94"/>
        <v>8.750499001996008</v>
      </c>
      <c r="AL95" s="2">
        <f t="shared" si="95"/>
        <v>781.5532518326739</v>
      </c>
      <c r="AM95" s="16">
        <f t="shared" si="96"/>
        <v>0.4667682693832051</v>
      </c>
      <c r="AN95" s="16">
        <f t="shared" si="97"/>
        <v>103.8023059045195</v>
      </c>
      <c r="AO95" s="16">
        <f t="shared" si="98"/>
        <v>58.94615083464523</v>
      </c>
      <c r="AP95" s="16">
        <f t="shared" si="99"/>
        <v>44.856155069874276</v>
      </c>
      <c r="AQ95" s="16">
        <f t="shared" si="100"/>
        <v>1.9943542190308226</v>
      </c>
      <c r="AR95" s="16">
        <f t="shared" si="101"/>
        <v>1.0073038794580242</v>
      </c>
      <c r="AS95" s="16">
        <f t="shared" si="102"/>
        <v>521.6655839879679</v>
      </c>
      <c r="AT95" s="16">
        <f t="shared" si="103"/>
        <v>397.1976288506442</v>
      </c>
    </row>
    <row r="96" spans="1:46" ht="12.75">
      <c r="A96" s="10" t="s">
        <v>251</v>
      </c>
      <c r="C96" s="3">
        <v>7.7</v>
      </c>
      <c r="D96" s="1">
        <v>2</v>
      </c>
      <c r="E96" s="1">
        <v>0.5</v>
      </c>
      <c r="F96" s="1">
        <f t="shared" si="69"/>
        <v>8.2</v>
      </c>
      <c r="G96" s="1">
        <f t="shared" si="70"/>
        <v>164</v>
      </c>
      <c r="J96" s="1">
        <v>2.5</v>
      </c>
      <c r="K96" s="1">
        <v>0</v>
      </c>
      <c r="L96" s="1">
        <v>0</v>
      </c>
      <c r="M96" s="1">
        <v>0.5</v>
      </c>
      <c r="N96" s="1">
        <f t="shared" si="71"/>
        <v>540.4507903916239</v>
      </c>
      <c r="O96" s="1">
        <f t="shared" si="72"/>
        <v>1.3386586311898236</v>
      </c>
      <c r="P96" s="1">
        <f t="shared" si="73"/>
        <v>541.8117600000002</v>
      </c>
      <c r="Q96" s="3">
        <f t="shared" si="74"/>
        <v>8.882160000000002</v>
      </c>
      <c r="R96" s="5">
        <f t="shared" si="75"/>
        <v>568.8761526776187</v>
      </c>
      <c r="S96" s="4">
        <f t="shared" si="76"/>
        <v>0.08658008658008658</v>
      </c>
      <c r="T96" s="4">
        <f t="shared" si="77"/>
        <v>0.01278772378516624</v>
      </c>
      <c r="U96" s="4">
        <f t="shared" si="78"/>
        <v>0.6748971193415637</v>
      </c>
      <c r="V96" s="4">
        <f t="shared" si="79"/>
        <v>8.183632734530939</v>
      </c>
      <c r="W96" s="4">
        <f t="shared" si="80"/>
        <v>0</v>
      </c>
      <c r="X96" s="4">
        <f t="shared" si="81"/>
        <v>0</v>
      </c>
      <c r="Y96" s="4">
        <f t="shared" si="82"/>
        <v>0.07042253521126761</v>
      </c>
      <c r="Z96" s="4">
        <f t="shared" si="83"/>
        <v>0</v>
      </c>
      <c r="AA96" s="4">
        <f t="shared" si="84"/>
        <v>0</v>
      </c>
      <c r="AB96" s="4">
        <f t="shared" si="85"/>
        <v>0.010416666666666666</v>
      </c>
      <c r="AC96" s="4">
        <f t="shared" si="86"/>
        <v>8.859849022813506</v>
      </c>
      <c r="AD96" s="4">
        <f t="shared" si="87"/>
        <v>0.02231097718649706</v>
      </c>
      <c r="AE96" s="1">
        <f t="shared" si="88"/>
        <v>8.957897664237755</v>
      </c>
      <c r="AF96" s="1">
        <f t="shared" si="89"/>
        <v>8.962999201877937</v>
      </c>
      <c r="AG96" s="1">
        <f t="shared" si="90"/>
        <v>-0.005101537640181064</v>
      </c>
      <c r="AH96" s="5">
        <f t="shared" si="91"/>
        <v>-0.028466977285198838</v>
      </c>
      <c r="AI96" s="1">
        <f t="shared" si="92"/>
        <v>17.92089686611569</v>
      </c>
      <c r="AJ96" s="7">
        <f t="shared" si="93"/>
        <v>861.9235864219245</v>
      </c>
      <c r="AK96" s="7">
        <f t="shared" si="94"/>
        <v>8.858529853872502</v>
      </c>
      <c r="AL96" s="2">
        <f t="shared" si="95"/>
        <v>790.2216877800377</v>
      </c>
      <c r="AM96" s="16">
        <f t="shared" si="96"/>
        <v>0.4667679165012157</v>
      </c>
      <c r="AN96" s="16">
        <f t="shared" si="97"/>
        <v>103.79956146119915</v>
      </c>
      <c r="AO96" s="16">
        <f t="shared" si="98"/>
        <v>58.94694989490394</v>
      </c>
      <c r="AP96" s="16">
        <f t="shared" si="99"/>
        <v>44.8526115662952</v>
      </c>
      <c r="AQ96" s="16">
        <f t="shared" si="100"/>
        <v>1.994422686014677</v>
      </c>
      <c r="AR96" s="16">
        <f t="shared" si="101"/>
        <v>1.0072762644785496</v>
      </c>
      <c r="AS96" s="16">
        <f t="shared" si="102"/>
        <v>528.0407447775</v>
      </c>
      <c r="AT96" s="16">
        <f t="shared" si="103"/>
        <v>402.013921670845</v>
      </c>
    </row>
    <row r="97" spans="1:46" ht="12.75">
      <c r="A97" s="10" t="s">
        <v>252</v>
      </c>
      <c r="C97" s="3">
        <v>7.7</v>
      </c>
      <c r="D97" s="1">
        <v>2</v>
      </c>
      <c r="E97" s="1">
        <v>0.5</v>
      </c>
      <c r="F97" s="1">
        <f t="shared" si="69"/>
        <v>8.3</v>
      </c>
      <c r="G97" s="1">
        <f t="shared" si="70"/>
        <v>166</v>
      </c>
      <c r="J97" s="1">
        <v>2.5</v>
      </c>
      <c r="K97" s="1">
        <v>0</v>
      </c>
      <c r="L97" s="1">
        <v>0</v>
      </c>
      <c r="M97" s="1">
        <v>0.5</v>
      </c>
      <c r="N97" s="1">
        <f t="shared" si="71"/>
        <v>547.0271098258072</v>
      </c>
      <c r="O97" s="1">
        <f t="shared" si="72"/>
        <v>1.3549477123208766</v>
      </c>
      <c r="P97" s="1">
        <f t="shared" si="73"/>
        <v>548.4046400000001</v>
      </c>
      <c r="Q97" s="3">
        <f t="shared" si="74"/>
        <v>8.990240000000002</v>
      </c>
      <c r="R97" s="5">
        <f t="shared" si="75"/>
        <v>575.7983579273999</v>
      </c>
      <c r="S97" s="4">
        <f t="shared" si="76"/>
        <v>0.08658008658008658</v>
      </c>
      <c r="T97" s="4">
        <f t="shared" si="77"/>
        <v>0.01278772378516624</v>
      </c>
      <c r="U97" s="4">
        <f t="shared" si="78"/>
        <v>0.6831275720164609</v>
      </c>
      <c r="V97" s="4">
        <f t="shared" si="79"/>
        <v>8.283433133732535</v>
      </c>
      <c r="W97" s="4">
        <f t="shared" si="80"/>
        <v>0</v>
      </c>
      <c r="X97" s="4">
        <f t="shared" si="81"/>
        <v>0</v>
      </c>
      <c r="Y97" s="4">
        <f t="shared" si="82"/>
        <v>0.07042253521126761</v>
      </c>
      <c r="Z97" s="4">
        <f t="shared" si="83"/>
        <v>0</v>
      </c>
      <c r="AA97" s="4">
        <f t="shared" si="84"/>
        <v>0</v>
      </c>
      <c r="AB97" s="4">
        <f t="shared" si="85"/>
        <v>0.010416666666666666</v>
      </c>
      <c r="AC97" s="4">
        <f t="shared" si="86"/>
        <v>8.967657538127987</v>
      </c>
      <c r="AD97" s="4">
        <f t="shared" si="87"/>
        <v>0.02258246187201461</v>
      </c>
      <c r="AE97" s="1">
        <f t="shared" si="88"/>
        <v>9.065928516114248</v>
      </c>
      <c r="AF97" s="1">
        <f t="shared" si="89"/>
        <v>9.071079201877936</v>
      </c>
      <c r="AG97" s="1">
        <f t="shared" si="90"/>
        <v>-0.005150685763688045</v>
      </c>
      <c r="AH97" s="5">
        <f t="shared" si="91"/>
        <v>-0.02839876259510265</v>
      </c>
      <c r="AI97" s="1">
        <f t="shared" si="92"/>
        <v>18.137007717992184</v>
      </c>
      <c r="AJ97" s="7">
        <f t="shared" si="93"/>
        <v>872.2864716233262</v>
      </c>
      <c r="AK97" s="7">
        <f t="shared" si="94"/>
        <v>8.966560705748996</v>
      </c>
      <c r="AL97" s="2">
        <f t="shared" si="95"/>
        <v>798.8748578998782</v>
      </c>
      <c r="AM97" s="16">
        <f t="shared" si="96"/>
        <v>0.4667675734780083</v>
      </c>
      <c r="AN97" s="16">
        <f t="shared" si="97"/>
        <v>103.7968824146538</v>
      </c>
      <c r="AO97" s="16">
        <f t="shared" si="98"/>
        <v>58.94772991173861</v>
      </c>
      <c r="AP97" s="16">
        <f t="shared" si="99"/>
        <v>44.84915250291519</v>
      </c>
      <c r="AQ97" s="16">
        <f t="shared" si="100"/>
        <v>1.9944895122829314</v>
      </c>
      <c r="AR97" s="16">
        <f t="shared" si="101"/>
        <v>1.0072493068141632</v>
      </c>
      <c r="AS97" s="16">
        <f t="shared" si="102"/>
        <v>534.4159055670319</v>
      </c>
      <c r="AT97" s="16">
        <f t="shared" si="103"/>
        <v>406.83021449104575</v>
      </c>
    </row>
    <row r="98" spans="1:46" ht="12.75">
      <c r="A98" s="10" t="s">
        <v>253</v>
      </c>
      <c r="C98" s="3">
        <v>7.7</v>
      </c>
      <c r="D98" s="1">
        <v>2</v>
      </c>
      <c r="E98" s="1">
        <v>0.5</v>
      </c>
      <c r="F98" s="1">
        <f t="shared" si="69"/>
        <v>8.4</v>
      </c>
      <c r="G98" s="1">
        <f t="shared" si="70"/>
        <v>168</v>
      </c>
      <c r="J98" s="1">
        <v>2.5</v>
      </c>
      <c r="K98" s="1">
        <v>0</v>
      </c>
      <c r="L98" s="1">
        <v>0</v>
      </c>
      <c r="M98" s="1">
        <v>0.5</v>
      </c>
      <c r="N98" s="1">
        <f t="shared" si="71"/>
        <v>553.6034292599907</v>
      </c>
      <c r="O98" s="1">
        <f t="shared" si="72"/>
        <v>1.3712367934519298</v>
      </c>
      <c r="P98" s="1">
        <f t="shared" si="73"/>
        <v>554.9975200000001</v>
      </c>
      <c r="Q98" s="3">
        <f t="shared" si="74"/>
        <v>9.098320000000001</v>
      </c>
      <c r="R98" s="5">
        <f t="shared" si="75"/>
        <v>582.7205631771812</v>
      </c>
      <c r="S98" s="4">
        <f t="shared" si="76"/>
        <v>0.08658008658008658</v>
      </c>
      <c r="T98" s="4">
        <f t="shared" si="77"/>
        <v>0.01278772378516624</v>
      </c>
      <c r="U98" s="4">
        <f t="shared" si="78"/>
        <v>0.691358024691358</v>
      </c>
      <c r="V98" s="4">
        <f t="shared" si="79"/>
        <v>8.383233532934131</v>
      </c>
      <c r="W98" s="4">
        <f t="shared" si="80"/>
        <v>0</v>
      </c>
      <c r="X98" s="4">
        <f t="shared" si="81"/>
        <v>0</v>
      </c>
      <c r="Y98" s="4">
        <f t="shared" si="82"/>
        <v>0.07042253521126761</v>
      </c>
      <c r="Z98" s="4">
        <f t="shared" si="83"/>
        <v>0</v>
      </c>
      <c r="AA98" s="4">
        <f t="shared" si="84"/>
        <v>0</v>
      </c>
      <c r="AB98" s="4">
        <f t="shared" si="85"/>
        <v>0.010416666666666666</v>
      </c>
      <c r="AC98" s="4">
        <f t="shared" si="86"/>
        <v>9.07546605344247</v>
      </c>
      <c r="AD98" s="4">
        <f t="shared" si="87"/>
        <v>0.022853946557532163</v>
      </c>
      <c r="AE98" s="1">
        <f t="shared" si="88"/>
        <v>9.173959367990742</v>
      </c>
      <c r="AF98" s="1">
        <f t="shared" si="89"/>
        <v>9.179159201877937</v>
      </c>
      <c r="AG98" s="1">
        <f t="shared" si="90"/>
        <v>-0.005199833887195027</v>
      </c>
      <c r="AH98" s="5">
        <f t="shared" si="91"/>
        <v>-0.028332154382372268</v>
      </c>
      <c r="AI98" s="1">
        <f t="shared" si="92"/>
        <v>18.353118569868677</v>
      </c>
      <c r="AJ98" s="7">
        <f t="shared" si="93"/>
        <v>882.6493568247278</v>
      </c>
      <c r="AK98" s="7">
        <f t="shared" si="94"/>
        <v>9.074591557625489</v>
      </c>
      <c r="AL98" s="2">
        <f t="shared" si="95"/>
        <v>807.5128534534977</v>
      </c>
      <c r="AM98" s="16">
        <f t="shared" si="96"/>
        <v>0.46676723991475394</v>
      </c>
      <c r="AN98" s="16">
        <f t="shared" si="97"/>
        <v>103.79426645491597</v>
      </c>
      <c r="AO98" s="16">
        <f t="shared" si="98"/>
        <v>58.94849155790481</v>
      </c>
      <c r="AP98" s="16">
        <f t="shared" si="99"/>
        <v>44.84577489701117</v>
      </c>
      <c r="AQ98" s="16">
        <f t="shared" si="100"/>
        <v>1.9945547561134966</v>
      </c>
      <c r="AR98" s="16">
        <f t="shared" si="101"/>
        <v>1.0072229832719395</v>
      </c>
      <c r="AS98" s="16">
        <f t="shared" si="102"/>
        <v>540.791066356564</v>
      </c>
      <c r="AT98" s="16">
        <f t="shared" si="103"/>
        <v>411.64650731124664</v>
      </c>
    </row>
    <row r="99" spans="1:46" ht="12.75">
      <c r="A99" s="10" t="s">
        <v>254</v>
      </c>
      <c r="C99" s="3">
        <v>7.7</v>
      </c>
      <c r="D99" s="1">
        <v>2</v>
      </c>
      <c r="E99" s="1">
        <v>0.5</v>
      </c>
      <c r="F99" s="1">
        <f t="shared" si="69"/>
        <v>8.5</v>
      </c>
      <c r="G99" s="1">
        <f t="shared" si="70"/>
        <v>170</v>
      </c>
      <c r="J99" s="1">
        <v>2.5</v>
      </c>
      <c r="K99" s="1">
        <v>0</v>
      </c>
      <c r="L99" s="1">
        <v>0</v>
      </c>
      <c r="M99" s="1">
        <v>0.5</v>
      </c>
      <c r="N99" s="1">
        <f t="shared" si="71"/>
        <v>560.179748694174</v>
      </c>
      <c r="O99" s="1">
        <f t="shared" si="72"/>
        <v>1.387525874582983</v>
      </c>
      <c r="P99" s="1">
        <f t="shared" si="73"/>
        <v>561.5904</v>
      </c>
      <c r="Q99" s="3">
        <f t="shared" si="74"/>
        <v>9.2064</v>
      </c>
      <c r="R99" s="5">
        <f t="shared" si="75"/>
        <v>589.6427684269623</v>
      </c>
      <c r="S99" s="4">
        <f t="shared" si="76"/>
        <v>0.08658008658008658</v>
      </c>
      <c r="T99" s="4">
        <f t="shared" si="77"/>
        <v>0.01278772378516624</v>
      </c>
      <c r="U99" s="4">
        <f t="shared" si="78"/>
        <v>0.6995884773662551</v>
      </c>
      <c r="V99" s="4">
        <f t="shared" si="79"/>
        <v>8.48303393213573</v>
      </c>
      <c r="W99" s="4">
        <f t="shared" si="80"/>
        <v>0</v>
      </c>
      <c r="X99" s="4">
        <f t="shared" si="81"/>
        <v>0</v>
      </c>
      <c r="Y99" s="4">
        <f t="shared" si="82"/>
        <v>0.07042253521126761</v>
      </c>
      <c r="Z99" s="4">
        <f t="shared" si="83"/>
        <v>0</v>
      </c>
      <c r="AA99" s="4">
        <f t="shared" si="84"/>
        <v>0</v>
      </c>
      <c r="AB99" s="4">
        <f t="shared" si="85"/>
        <v>0.010416666666666666</v>
      </c>
      <c r="AC99" s="4">
        <f t="shared" si="86"/>
        <v>9.183274568756952</v>
      </c>
      <c r="AD99" s="4">
        <f t="shared" si="87"/>
        <v>0.023125431243049718</v>
      </c>
      <c r="AE99" s="1">
        <f t="shared" si="88"/>
        <v>9.281990219867238</v>
      </c>
      <c r="AF99" s="1">
        <f t="shared" si="89"/>
        <v>9.287239201877936</v>
      </c>
      <c r="AG99" s="1">
        <f t="shared" si="90"/>
        <v>-0.005248982010698455</v>
      </c>
      <c r="AH99" s="5">
        <f t="shared" si="91"/>
        <v>-0.028267096557877226</v>
      </c>
      <c r="AI99" s="1">
        <f t="shared" si="92"/>
        <v>18.569229421745174</v>
      </c>
      <c r="AJ99" s="7">
        <f t="shared" si="93"/>
        <v>893.0122420261293</v>
      </c>
      <c r="AK99" s="7">
        <f t="shared" si="94"/>
        <v>9.182622409501985</v>
      </c>
      <c r="AL99" s="2">
        <f t="shared" si="95"/>
        <v>816.1357640848535</v>
      </c>
      <c r="AM99" s="16">
        <f t="shared" si="96"/>
        <v>0.46676691543351534</v>
      </c>
      <c r="AN99" s="16">
        <f t="shared" si="97"/>
        <v>103.79171137954336</v>
      </c>
      <c r="AO99" s="16">
        <f t="shared" si="98"/>
        <v>58.949235474837884</v>
      </c>
      <c r="AP99" s="16">
        <f t="shared" si="99"/>
        <v>44.842475904705466</v>
      </c>
      <c r="AQ99" s="16">
        <f t="shared" si="100"/>
        <v>1.9946184730565535</v>
      </c>
      <c r="AR99" s="16">
        <f t="shared" si="101"/>
        <v>1.0071972717373985</v>
      </c>
      <c r="AS99" s="16">
        <f t="shared" si="102"/>
        <v>547.166227146096</v>
      </c>
      <c r="AT99" s="16">
        <f t="shared" si="103"/>
        <v>416.4628001314474</v>
      </c>
    </row>
    <row r="100" spans="1:46" ht="12.75">
      <c r="A100" s="10" t="s">
        <v>255</v>
      </c>
      <c r="C100" s="3">
        <v>7.7</v>
      </c>
      <c r="D100" s="1">
        <v>2</v>
      </c>
      <c r="E100" s="1">
        <v>0.5</v>
      </c>
      <c r="F100" s="1">
        <f t="shared" si="69"/>
        <v>8.6</v>
      </c>
      <c r="G100" s="1">
        <f t="shared" si="70"/>
        <v>172</v>
      </c>
      <c r="J100" s="1">
        <v>2.5</v>
      </c>
      <c r="K100" s="1">
        <v>0</v>
      </c>
      <c r="L100" s="1">
        <v>0</v>
      </c>
      <c r="M100" s="1">
        <v>0.5</v>
      </c>
      <c r="N100" s="1">
        <f t="shared" si="71"/>
        <v>566.7560681283574</v>
      </c>
      <c r="O100" s="1">
        <f t="shared" si="72"/>
        <v>1.4038149557140363</v>
      </c>
      <c r="P100" s="1">
        <f t="shared" si="73"/>
        <v>568.18328</v>
      </c>
      <c r="Q100" s="3">
        <f t="shared" si="74"/>
        <v>9.31448</v>
      </c>
      <c r="R100" s="5">
        <f t="shared" si="75"/>
        <v>596.5649736767435</v>
      </c>
      <c r="S100" s="4">
        <f t="shared" si="76"/>
        <v>0.08658008658008658</v>
      </c>
      <c r="T100" s="4">
        <f t="shared" si="77"/>
        <v>0.01278772378516624</v>
      </c>
      <c r="U100" s="4">
        <f t="shared" si="78"/>
        <v>0.7078189300411523</v>
      </c>
      <c r="V100" s="4">
        <f t="shared" si="79"/>
        <v>8.582834331337326</v>
      </c>
      <c r="W100" s="4">
        <f t="shared" si="80"/>
        <v>0</v>
      </c>
      <c r="X100" s="4">
        <f t="shared" si="81"/>
        <v>0</v>
      </c>
      <c r="Y100" s="4">
        <f t="shared" si="82"/>
        <v>0.07042253521126761</v>
      </c>
      <c r="Z100" s="4">
        <f t="shared" si="83"/>
        <v>0</v>
      </c>
      <c r="AA100" s="4">
        <f t="shared" si="84"/>
        <v>0</v>
      </c>
      <c r="AB100" s="4">
        <f t="shared" si="85"/>
        <v>0.010416666666666666</v>
      </c>
      <c r="AC100" s="4">
        <f t="shared" si="86"/>
        <v>9.291083084071433</v>
      </c>
      <c r="AD100" s="4">
        <f t="shared" si="87"/>
        <v>0.023396915928567272</v>
      </c>
      <c r="AE100" s="1">
        <f t="shared" si="88"/>
        <v>9.39002107174373</v>
      </c>
      <c r="AF100" s="1">
        <f t="shared" si="89"/>
        <v>9.395319201877934</v>
      </c>
      <c r="AG100" s="1">
        <f t="shared" si="90"/>
        <v>-0.00529813013420366</v>
      </c>
      <c r="AH100" s="5">
        <f t="shared" si="91"/>
        <v>-0.02820353561358313</v>
      </c>
      <c r="AI100" s="1">
        <f t="shared" si="92"/>
        <v>18.785340273621664</v>
      </c>
      <c r="AJ100" s="7">
        <f t="shared" si="93"/>
        <v>903.3751272275308</v>
      </c>
      <c r="AK100" s="7">
        <f t="shared" si="94"/>
        <v>9.290653261378479</v>
      </c>
      <c r="AL100" s="2">
        <f t="shared" si="95"/>
        <v>824.7436778677736</v>
      </c>
      <c r="AM100" s="16">
        <f t="shared" si="96"/>
        <v>0.4667665996759126</v>
      </c>
      <c r="AN100" s="16">
        <f t="shared" si="97"/>
        <v>103.78921508743454</v>
      </c>
      <c r="AO100" s="16">
        <f t="shared" si="98"/>
        <v>58.949962274454755</v>
      </c>
      <c r="AP100" s="16">
        <f t="shared" si="99"/>
        <v>44.839252812979794</v>
      </c>
      <c r="AQ100" s="16">
        <f t="shared" si="100"/>
        <v>1.9946807160922952</v>
      </c>
      <c r="AR100" s="16">
        <f t="shared" si="101"/>
        <v>1.0071721511125422</v>
      </c>
      <c r="AS100" s="16">
        <f t="shared" si="102"/>
        <v>553.5413879356281</v>
      </c>
      <c r="AT100" s="16">
        <f t="shared" si="103"/>
        <v>421.2790929516482</v>
      </c>
    </row>
    <row r="101" spans="1:46" ht="12.75">
      <c r="A101" s="10" t="s">
        <v>256</v>
      </c>
      <c r="C101" s="3">
        <v>7.7</v>
      </c>
      <c r="D101" s="1">
        <v>2</v>
      </c>
      <c r="E101" s="1">
        <v>0.5</v>
      </c>
      <c r="F101" s="1">
        <f t="shared" si="69"/>
        <v>8.7</v>
      </c>
      <c r="G101" s="1">
        <f t="shared" si="70"/>
        <v>174</v>
      </c>
      <c r="J101" s="1">
        <v>2.5</v>
      </c>
      <c r="K101" s="1">
        <v>0</v>
      </c>
      <c r="L101" s="1">
        <v>0</v>
      </c>
      <c r="M101" s="1">
        <v>0.5</v>
      </c>
      <c r="N101" s="1">
        <f t="shared" si="71"/>
        <v>573.3323875625407</v>
      </c>
      <c r="O101" s="1">
        <f t="shared" si="72"/>
        <v>1.4201040368450895</v>
      </c>
      <c r="P101" s="1">
        <f t="shared" si="73"/>
        <v>574.7761599999999</v>
      </c>
      <c r="Q101" s="3">
        <f t="shared" si="74"/>
        <v>9.422559999999999</v>
      </c>
      <c r="R101" s="5">
        <f t="shared" si="75"/>
        <v>603.4871789265247</v>
      </c>
      <c r="S101" s="4">
        <f t="shared" si="76"/>
        <v>0.08658008658008658</v>
      </c>
      <c r="T101" s="4">
        <f t="shared" si="77"/>
        <v>0.01278772378516624</v>
      </c>
      <c r="U101" s="4">
        <f t="shared" si="78"/>
        <v>0.7160493827160493</v>
      </c>
      <c r="V101" s="4">
        <f t="shared" si="79"/>
        <v>8.682634730538922</v>
      </c>
      <c r="W101" s="4">
        <f t="shared" si="80"/>
        <v>0</v>
      </c>
      <c r="X101" s="4">
        <f t="shared" si="81"/>
        <v>0</v>
      </c>
      <c r="Y101" s="4">
        <f t="shared" si="82"/>
        <v>0.07042253521126761</v>
      </c>
      <c r="Z101" s="4">
        <f t="shared" si="83"/>
        <v>0</v>
      </c>
      <c r="AA101" s="4">
        <f t="shared" si="84"/>
        <v>0</v>
      </c>
      <c r="AB101" s="4">
        <f t="shared" si="85"/>
        <v>0.010416666666666666</v>
      </c>
      <c r="AC101" s="4">
        <f t="shared" si="86"/>
        <v>9.398891599385912</v>
      </c>
      <c r="AD101" s="4">
        <f t="shared" si="87"/>
        <v>0.023668400614084824</v>
      </c>
      <c r="AE101" s="1">
        <f t="shared" si="88"/>
        <v>9.498051923620224</v>
      </c>
      <c r="AF101" s="1">
        <f t="shared" si="89"/>
        <v>9.503399201877931</v>
      </c>
      <c r="AG101" s="1">
        <f t="shared" si="90"/>
        <v>-0.005347278257707089</v>
      </c>
      <c r="AH101" s="5">
        <f t="shared" si="91"/>
        <v>-0.028141420475679062</v>
      </c>
      <c r="AI101" s="1">
        <f t="shared" si="92"/>
        <v>19.001451125498157</v>
      </c>
      <c r="AJ101" s="7">
        <f t="shared" si="93"/>
        <v>913.7380124289325</v>
      </c>
      <c r="AK101" s="7">
        <f t="shared" si="94"/>
        <v>9.398684113254971</v>
      </c>
      <c r="AL101" s="2">
        <f t="shared" si="95"/>
        <v>833.3366813512594</v>
      </c>
      <c r="AM101" s="16">
        <f t="shared" si="96"/>
        <v>0.46676629230189015</v>
      </c>
      <c r="AN101" s="16">
        <f t="shared" si="97"/>
        <v>103.78677557306648</v>
      </c>
      <c r="AO101" s="16">
        <f t="shared" si="98"/>
        <v>58.950672540832514</v>
      </c>
      <c r="AP101" s="16">
        <f t="shared" si="99"/>
        <v>44.83610303223396</v>
      </c>
      <c r="AQ101" s="16">
        <f t="shared" si="100"/>
        <v>1.9947415357778533</v>
      </c>
      <c r="AR101" s="16">
        <f t="shared" si="101"/>
        <v>1.0071476012581164</v>
      </c>
      <c r="AS101" s="16">
        <f t="shared" si="102"/>
        <v>559.9165487251602</v>
      </c>
      <c r="AT101" s="16">
        <f t="shared" si="103"/>
        <v>426.0953857718489</v>
      </c>
    </row>
    <row r="102" spans="1:46" ht="12.75">
      <c r="A102" s="10" t="s">
        <v>257</v>
      </c>
      <c r="C102" s="3">
        <v>7.7</v>
      </c>
      <c r="D102" s="1">
        <v>2</v>
      </c>
      <c r="E102" s="1">
        <v>0.5</v>
      </c>
      <c r="F102" s="1">
        <f t="shared" si="69"/>
        <v>8.8</v>
      </c>
      <c r="G102" s="1">
        <f t="shared" si="70"/>
        <v>176</v>
      </c>
      <c r="J102" s="1">
        <v>2.5</v>
      </c>
      <c r="K102" s="1">
        <v>0</v>
      </c>
      <c r="L102" s="1">
        <v>0</v>
      </c>
      <c r="M102" s="1">
        <v>0.5</v>
      </c>
      <c r="N102" s="1">
        <f t="shared" si="71"/>
        <v>579.9087069967242</v>
      </c>
      <c r="O102" s="1">
        <f t="shared" si="72"/>
        <v>1.4363931179761424</v>
      </c>
      <c r="P102" s="1">
        <f t="shared" si="73"/>
        <v>581.3690399999999</v>
      </c>
      <c r="Q102" s="3">
        <f t="shared" si="74"/>
        <v>9.530639999999998</v>
      </c>
      <c r="R102" s="5">
        <f t="shared" si="75"/>
        <v>610.409384176306</v>
      </c>
      <c r="S102" s="4">
        <f t="shared" si="76"/>
        <v>0.08658008658008658</v>
      </c>
      <c r="T102" s="4">
        <f t="shared" si="77"/>
        <v>0.01278772378516624</v>
      </c>
      <c r="U102" s="4">
        <f t="shared" si="78"/>
        <v>0.7242798353909465</v>
      </c>
      <c r="V102" s="4">
        <f t="shared" si="79"/>
        <v>8.78243512974052</v>
      </c>
      <c r="W102" s="4">
        <f t="shared" si="80"/>
        <v>0</v>
      </c>
      <c r="X102" s="4">
        <f t="shared" si="81"/>
        <v>0</v>
      </c>
      <c r="Y102" s="4">
        <f t="shared" si="82"/>
        <v>0.07042253521126761</v>
      </c>
      <c r="Z102" s="4">
        <f t="shared" si="83"/>
        <v>0</v>
      </c>
      <c r="AA102" s="4">
        <f t="shared" si="84"/>
        <v>0</v>
      </c>
      <c r="AB102" s="4">
        <f t="shared" si="85"/>
        <v>0.010416666666666666</v>
      </c>
      <c r="AC102" s="4">
        <f t="shared" si="86"/>
        <v>9.506700114700395</v>
      </c>
      <c r="AD102" s="4">
        <f t="shared" si="87"/>
        <v>0.023939885299602375</v>
      </c>
      <c r="AE102" s="1">
        <f t="shared" si="88"/>
        <v>9.60608277549672</v>
      </c>
      <c r="AF102" s="1">
        <f t="shared" si="89"/>
        <v>9.611479201877932</v>
      </c>
      <c r="AG102" s="1">
        <f t="shared" si="90"/>
        <v>-0.005396426381212294</v>
      </c>
      <c r="AH102" s="5">
        <f t="shared" si="91"/>
        <v>-0.028080702367790724</v>
      </c>
      <c r="AI102" s="1">
        <f t="shared" si="92"/>
        <v>19.21756197737465</v>
      </c>
      <c r="AJ102" s="7">
        <f t="shared" si="93"/>
        <v>924.1008976303342</v>
      </c>
      <c r="AK102" s="7">
        <f t="shared" si="94"/>
        <v>9.506714965131467</v>
      </c>
      <c r="AL102" s="2">
        <f t="shared" si="95"/>
        <v>841.9148596029826</v>
      </c>
      <c r="AM102" s="16">
        <f t="shared" si="96"/>
        <v>0.4667659929885729</v>
      </c>
      <c r="AN102" s="16">
        <f t="shared" si="97"/>
        <v>103.78439092112082</v>
      </c>
      <c r="AO102" s="16">
        <f t="shared" si="98"/>
        <v>58.951366831773946</v>
      </c>
      <c r="AP102" s="16">
        <f t="shared" si="99"/>
        <v>44.83302408934687</v>
      </c>
      <c r="AQ102" s="16">
        <f t="shared" si="100"/>
        <v>1.9948009803842572</v>
      </c>
      <c r="AR102" s="16">
        <f t="shared" si="101"/>
        <v>1.0071236029397614</v>
      </c>
      <c r="AS102" s="16">
        <f t="shared" si="102"/>
        <v>566.2917095146923</v>
      </c>
      <c r="AT102" s="16">
        <f t="shared" si="103"/>
        <v>430.9116785920498</v>
      </c>
    </row>
    <row r="103" spans="1:46" ht="12.75">
      <c r="A103" s="10" t="s">
        <v>258</v>
      </c>
      <c r="C103" s="3">
        <v>7.7</v>
      </c>
      <c r="D103" s="1">
        <v>2</v>
      </c>
      <c r="E103" s="1">
        <v>0.5</v>
      </c>
      <c r="F103" s="1">
        <f t="shared" si="69"/>
        <v>8.9</v>
      </c>
      <c r="G103" s="1">
        <f t="shared" si="70"/>
        <v>178</v>
      </c>
      <c r="J103" s="1">
        <v>2.5</v>
      </c>
      <c r="K103" s="1">
        <v>0</v>
      </c>
      <c r="L103" s="1">
        <v>0</v>
      </c>
      <c r="M103" s="1">
        <v>0.5</v>
      </c>
      <c r="N103" s="1">
        <f t="shared" si="71"/>
        <v>586.4850264309075</v>
      </c>
      <c r="O103" s="1">
        <f t="shared" si="72"/>
        <v>1.4526821991071956</v>
      </c>
      <c r="P103" s="1">
        <f t="shared" si="73"/>
        <v>587.9619199999999</v>
      </c>
      <c r="Q103" s="3">
        <f t="shared" si="74"/>
        <v>9.638719999999998</v>
      </c>
      <c r="R103" s="5">
        <f t="shared" si="75"/>
        <v>617.3315894260872</v>
      </c>
      <c r="S103" s="4">
        <f t="shared" si="76"/>
        <v>0.08658008658008658</v>
      </c>
      <c r="T103" s="4">
        <f t="shared" si="77"/>
        <v>0.01278772378516624</v>
      </c>
      <c r="U103" s="4">
        <f t="shared" si="78"/>
        <v>0.7325102880658436</v>
      </c>
      <c r="V103" s="4">
        <f t="shared" si="79"/>
        <v>8.882235528942116</v>
      </c>
      <c r="W103" s="4">
        <f t="shared" si="80"/>
        <v>0</v>
      </c>
      <c r="X103" s="4">
        <f t="shared" si="81"/>
        <v>0</v>
      </c>
      <c r="Y103" s="4">
        <f t="shared" si="82"/>
        <v>0.07042253521126761</v>
      </c>
      <c r="Z103" s="4">
        <f t="shared" si="83"/>
        <v>0</v>
      </c>
      <c r="AA103" s="4">
        <f t="shared" si="84"/>
        <v>0</v>
      </c>
      <c r="AB103" s="4">
        <f t="shared" si="85"/>
        <v>0.010416666666666666</v>
      </c>
      <c r="AC103" s="4">
        <f t="shared" si="86"/>
        <v>9.614508630014877</v>
      </c>
      <c r="AD103" s="4">
        <f t="shared" si="87"/>
        <v>0.024211369985119927</v>
      </c>
      <c r="AE103" s="1">
        <f t="shared" si="88"/>
        <v>9.714113627373212</v>
      </c>
      <c r="AF103" s="1">
        <f t="shared" si="89"/>
        <v>9.71955920187793</v>
      </c>
      <c r="AG103" s="1">
        <f t="shared" si="90"/>
        <v>-0.005445574504717499</v>
      </c>
      <c r="AH103" s="5">
        <f t="shared" si="91"/>
        <v>-0.02802133468317393</v>
      </c>
      <c r="AI103" s="1">
        <f t="shared" si="92"/>
        <v>19.433672829251144</v>
      </c>
      <c r="AJ103" s="7">
        <f t="shared" si="93"/>
        <v>934.4637828317357</v>
      </c>
      <c r="AK103" s="7">
        <f t="shared" si="94"/>
        <v>9.614745817007961</v>
      </c>
      <c r="AL103" s="2">
        <f t="shared" si="95"/>
        <v>850.4782962510635</v>
      </c>
      <c r="AM103" s="16">
        <f t="shared" si="96"/>
        <v>0.46676570142920915</v>
      </c>
      <c r="AN103" s="16">
        <f t="shared" si="97"/>
        <v>103.78205930146882</v>
      </c>
      <c r="AO103" s="16">
        <f t="shared" si="98"/>
        <v>58.9520456802685</v>
      </c>
      <c r="AP103" s="16">
        <f t="shared" si="99"/>
        <v>44.83001362120032</v>
      </c>
      <c r="AQ103" s="16">
        <f t="shared" si="100"/>
        <v>1.9948590960242025</v>
      </c>
      <c r="AR103" s="16">
        <f t="shared" si="101"/>
        <v>1.0071001377777544</v>
      </c>
      <c r="AS103" s="16">
        <f t="shared" si="102"/>
        <v>572.6668703042243</v>
      </c>
      <c r="AT103" s="16">
        <f t="shared" si="103"/>
        <v>435.7279714122505</v>
      </c>
    </row>
    <row r="104" spans="1:46" ht="12.75">
      <c r="A104" s="10" t="s">
        <v>259</v>
      </c>
      <c r="C104" s="3">
        <v>7.7</v>
      </c>
      <c r="D104" s="1">
        <v>2</v>
      </c>
      <c r="E104" s="1">
        <v>0.5</v>
      </c>
      <c r="F104" s="1">
        <f t="shared" si="69"/>
        <v>9</v>
      </c>
      <c r="G104" s="1">
        <f t="shared" si="70"/>
        <v>180</v>
      </c>
      <c r="J104" s="1">
        <v>2.5</v>
      </c>
      <c r="K104" s="1">
        <v>0</v>
      </c>
      <c r="L104" s="1">
        <v>0</v>
      </c>
      <c r="M104" s="1">
        <v>0.5</v>
      </c>
      <c r="N104" s="1">
        <f t="shared" si="71"/>
        <v>593.0613458650909</v>
      </c>
      <c r="O104" s="1">
        <f t="shared" si="72"/>
        <v>1.4689712802382486</v>
      </c>
      <c r="P104" s="1">
        <f t="shared" si="73"/>
        <v>594.5547999999998</v>
      </c>
      <c r="Q104" s="3">
        <f t="shared" si="74"/>
        <v>9.746799999999997</v>
      </c>
      <c r="R104" s="5">
        <f t="shared" si="75"/>
        <v>624.2537946758683</v>
      </c>
      <c r="S104" s="4">
        <f t="shared" si="76"/>
        <v>0.08658008658008658</v>
      </c>
      <c r="T104" s="4">
        <f t="shared" si="77"/>
        <v>0.01278772378516624</v>
      </c>
      <c r="U104" s="4">
        <f t="shared" si="78"/>
        <v>0.7407407407407407</v>
      </c>
      <c r="V104" s="4">
        <f t="shared" si="79"/>
        <v>8.982035928143713</v>
      </c>
      <c r="W104" s="4">
        <f t="shared" si="80"/>
        <v>0</v>
      </c>
      <c r="X104" s="4">
        <f t="shared" si="81"/>
        <v>0</v>
      </c>
      <c r="Y104" s="4">
        <f t="shared" si="82"/>
        <v>0.07042253521126761</v>
      </c>
      <c r="Z104" s="4">
        <f t="shared" si="83"/>
        <v>0</v>
      </c>
      <c r="AA104" s="4">
        <f t="shared" si="84"/>
        <v>0</v>
      </c>
      <c r="AB104" s="4">
        <f t="shared" si="85"/>
        <v>0.010416666666666666</v>
      </c>
      <c r="AC104" s="4">
        <f t="shared" si="86"/>
        <v>9.722317145329358</v>
      </c>
      <c r="AD104" s="4">
        <f t="shared" si="87"/>
        <v>0.024482854670637478</v>
      </c>
      <c r="AE104" s="1">
        <f t="shared" si="88"/>
        <v>9.822144479249706</v>
      </c>
      <c r="AF104" s="1">
        <f t="shared" si="89"/>
        <v>9.827639201877929</v>
      </c>
      <c r="AG104" s="1">
        <f t="shared" si="90"/>
        <v>-0.0054947226282227035</v>
      </c>
      <c r="AH104" s="5">
        <f t="shared" si="91"/>
        <v>-0.027963272865441435</v>
      </c>
      <c r="AI104" s="1">
        <f t="shared" si="92"/>
        <v>19.649783681127637</v>
      </c>
      <c r="AJ104" s="7">
        <f t="shared" si="93"/>
        <v>944.8266680331373</v>
      </c>
      <c r="AK104" s="7">
        <f t="shared" si="94"/>
        <v>9.722776668884453</v>
      </c>
      <c r="AL104" s="2">
        <f t="shared" si="95"/>
        <v>859.0270735242191</v>
      </c>
      <c r="AM104" s="16">
        <f t="shared" si="96"/>
        <v>0.46676541733218657</v>
      </c>
      <c r="AN104" s="16">
        <f t="shared" si="97"/>
        <v>103.77977896448701</v>
      </c>
      <c r="AO104" s="16">
        <f t="shared" si="98"/>
        <v>58.95270959585683</v>
      </c>
      <c r="AP104" s="16">
        <f t="shared" si="99"/>
        <v>44.827069368630184</v>
      </c>
      <c r="AQ104" s="16">
        <f t="shared" si="100"/>
        <v>1.9949159267713523</v>
      </c>
      <c r="AR104" s="16">
        <f t="shared" si="101"/>
        <v>1.0070771882000635</v>
      </c>
      <c r="AS104" s="16">
        <f t="shared" si="102"/>
        <v>579.0420310937563</v>
      </c>
      <c r="AT104" s="16">
        <f t="shared" si="103"/>
        <v>440.5442642324513</v>
      </c>
    </row>
    <row r="105" spans="1:46" ht="12.75">
      <c r="A105" s="10" t="s">
        <v>260</v>
      </c>
      <c r="C105" s="3">
        <v>7.7</v>
      </c>
      <c r="D105" s="1">
        <v>2</v>
      </c>
      <c r="E105" s="1">
        <v>0.5</v>
      </c>
      <c r="F105" s="1">
        <f t="shared" si="69"/>
        <v>9.1</v>
      </c>
      <c r="G105" s="1">
        <f t="shared" si="70"/>
        <v>182</v>
      </c>
      <c r="J105" s="1">
        <v>2.5</v>
      </c>
      <c r="K105" s="1">
        <v>0</v>
      </c>
      <c r="L105" s="1">
        <v>0</v>
      </c>
      <c r="M105" s="1">
        <v>0.5</v>
      </c>
      <c r="N105" s="1">
        <f t="shared" si="71"/>
        <v>599.6376652992743</v>
      </c>
      <c r="O105" s="1">
        <f t="shared" si="72"/>
        <v>1.4852603613693018</v>
      </c>
      <c r="P105" s="1">
        <f t="shared" si="73"/>
        <v>601.1476799999998</v>
      </c>
      <c r="Q105" s="3">
        <f t="shared" si="74"/>
        <v>9.854879999999996</v>
      </c>
      <c r="R105" s="5">
        <f t="shared" si="75"/>
        <v>631.1759999256496</v>
      </c>
      <c r="S105" s="4">
        <f t="shared" si="76"/>
        <v>0.08658008658008658</v>
      </c>
      <c r="T105" s="4">
        <f t="shared" si="77"/>
        <v>0.01278772378516624</v>
      </c>
      <c r="U105" s="4">
        <f t="shared" si="78"/>
        <v>0.7489711934156378</v>
      </c>
      <c r="V105" s="4">
        <f t="shared" si="79"/>
        <v>9.081836327345309</v>
      </c>
      <c r="W105" s="4">
        <f t="shared" si="80"/>
        <v>0</v>
      </c>
      <c r="X105" s="4">
        <f t="shared" si="81"/>
        <v>0</v>
      </c>
      <c r="Y105" s="4">
        <f t="shared" si="82"/>
        <v>0.07042253521126761</v>
      </c>
      <c r="Z105" s="4">
        <f t="shared" si="83"/>
        <v>0</v>
      </c>
      <c r="AA105" s="4">
        <f t="shared" si="84"/>
        <v>0</v>
      </c>
      <c r="AB105" s="4">
        <f t="shared" si="85"/>
        <v>0.010416666666666666</v>
      </c>
      <c r="AC105" s="4">
        <f t="shared" si="86"/>
        <v>9.83012566064384</v>
      </c>
      <c r="AD105" s="4">
        <f t="shared" si="87"/>
        <v>0.02475433935615503</v>
      </c>
      <c r="AE105" s="1">
        <f t="shared" si="88"/>
        <v>9.9301753311262</v>
      </c>
      <c r="AF105" s="1">
        <f t="shared" si="89"/>
        <v>9.93571920187793</v>
      </c>
      <c r="AG105" s="1">
        <f t="shared" si="90"/>
        <v>-0.005543870751729685</v>
      </c>
      <c r="AH105" s="5">
        <f t="shared" si="91"/>
        <v>-0.027906474297039054</v>
      </c>
      <c r="AI105" s="1">
        <f t="shared" si="92"/>
        <v>19.86589453300413</v>
      </c>
      <c r="AJ105" s="7">
        <f t="shared" si="93"/>
        <v>955.189553234539</v>
      </c>
      <c r="AK105" s="7">
        <f t="shared" si="94"/>
        <v>9.830807520760947</v>
      </c>
      <c r="AL105" s="2">
        <f t="shared" si="95"/>
        <v>867.5612722903583</v>
      </c>
      <c r="AM105" s="16">
        <f t="shared" si="96"/>
        <v>0.46676514042012146</v>
      </c>
      <c r="AN105" s="16">
        <f t="shared" si="97"/>
        <v>103.77754823667877</v>
      </c>
      <c r="AO105" s="16">
        <f t="shared" si="98"/>
        <v>58.953359065906355</v>
      </c>
      <c r="AP105" s="16">
        <f t="shared" si="99"/>
        <v>44.82418917077241</v>
      </c>
      <c r="AQ105" s="16">
        <f t="shared" si="100"/>
        <v>1.994971514771809</v>
      </c>
      <c r="AR105" s="16">
        <f t="shared" si="101"/>
        <v>1.0070547373984626</v>
      </c>
      <c r="AS105" s="16">
        <f t="shared" si="102"/>
        <v>585.4171918832884</v>
      </c>
      <c r="AT105" s="16">
        <f t="shared" si="103"/>
        <v>445.36055705265215</v>
      </c>
    </row>
    <row r="106" spans="1:46" ht="12.75">
      <c r="A106" s="10" t="s">
        <v>261</v>
      </c>
      <c r="C106" s="3">
        <v>7.7</v>
      </c>
      <c r="D106" s="1">
        <v>2</v>
      </c>
      <c r="E106" s="1">
        <v>0.5</v>
      </c>
      <c r="F106" s="1">
        <f t="shared" si="69"/>
        <v>9.2</v>
      </c>
      <c r="G106" s="1">
        <f t="shared" si="70"/>
        <v>184</v>
      </c>
      <c r="J106" s="1">
        <v>2.5</v>
      </c>
      <c r="K106" s="1">
        <v>0</v>
      </c>
      <c r="L106" s="1">
        <v>0</v>
      </c>
      <c r="M106" s="1">
        <v>0.5</v>
      </c>
      <c r="N106" s="1">
        <f t="shared" si="71"/>
        <v>606.2139847334577</v>
      </c>
      <c r="O106" s="1">
        <f t="shared" si="72"/>
        <v>1.501549442500355</v>
      </c>
      <c r="P106" s="1">
        <f t="shared" si="73"/>
        <v>607.7405599999997</v>
      </c>
      <c r="Q106" s="3">
        <f t="shared" si="74"/>
        <v>9.962959999999995</v>
      </c>
      <c r="R106" s="5">
        <f t="shared" si="75"/>
        <v>638.0982051754308</v>
      </c>
      <c r="S106" s="4">
        <f t="shared" si="76"/>
        <v>0.08658008658008658</v>
      </c>
      <c r="T106" s="4">
        <f t="shared" si="77"/>
        <v>0.01278772378516624</v>
      </c>
      <c r="U106" s="4">
        <f t="shared" si="78"/>
        <v>0.7572016460905349</v>
      </c>
      <c r="V106" s="4">
        <f t="shared" si="79"/>
        <v>9.181636726546907</v>
      </c>
      <c r="W106" s="4">
        <f t="shared" si="80"/>
        <v>0</v>
      </c>
      <c r="X106" s="4">
        <f t="shared" si="81"/>
        <v>0</v>
      </c>
      <c r="Y106" s="4">
        <f t="shared" si="82"/>
        <v>0.07042253521126761</v>
      </c>
      <c r="Z106" s="4">
        <f t="shared" si="83"/>
        <v>0</v>
      </c>
      <c r="AA106" s="4">
        <f t="shared" si="84"/>
        <v>0</v>
      </c>
      <c r="AB106" s="4">
        <f t="shared" si="85"/>
        <v>0.010416666666666666</v>
      </c>
      <c r="AC106" s="4">
        <f t="shared" si="86"/>
        <v>9.937934175958322</v>
      </c>
      <c r="AD106" s="4">
        <f t="shared" si="87"/>
        <v>0.025025824041672584</v>
      </c>
      <c r="AE106" s="1">
        <f t="shared" si="88"/>
        <v>10.038206183002695</v>
      </c>
      <c r="AF106" s="1">
        <f t="shared" si="89"/>
        <v>10.04379920187793</v>
      </c>
      <c r="AG106" s="1">
        <f t="shared" si="90"/>
        <v>-0.00559301887523489</v>
      </c>
      <c r="AH106" s="5">
        <f t="shared" si="91"/>
        <v>-0.027850898194887307</v>
      </c>
      <c r="AI106" s="1">
        <f t="shared" si="92"/>
        <v>20.082005384880624</v>
      </c>
      <c r="AJ106" s="7">
        <f t="shared" si="93"/>
        <v>965.5524384359404</v>
      </c>
      <c r="AK106" s="7">
        <f t="shared" si="94"/>
        <v>9.938838372637441</v>
      </c>
      <c r="AL106" s="2">
        <f t="shared" si="95"/>
        <v>876.080972093707</v>
      </c>
      <c r="AM106" s="16">
        <f t="shared" si="96"/>
        <v>0.4667648704290101</v>
      </c>
      <c r="AN106" s="16">
        <f t="shared" si="97"/>
        <v>103.77536551657835</v>
      </c>
      <c r="AO106" s="16">
        <f t="shared" si="98"/>
        <v>58.95399455680433</v>
      </c>
      <c r="AP106" s="16">
        <f t="shared" si="99"/>
        <v>44.82137095977402</v>
      </c>
      <c r="AQ106" s="16">
        <f t="shared" si="100"/>
        <v>1.9950259003483477</v>
      </c>
      <c r="AR106" s="16">
        <f t="shared" si="101"/>
        <v>1.007032769287477</v>
      </c>
      <c r="AS106" s="16">
        <f t="shared" si="102"/>
        <v>591.7923526728205</v>
      </c>
      <c r="AT106" s="16">
        <f t="shared" si="103"/>
        <v>450.1768498728529</v>
      </c>
    </row>
    <row r="107" spans="1:46" ht="12.75">
      <c r="A107" s="10" t="s">
        <v>262</v>
      </c>
      <c r="C107" s="3">
        <v>7.7</v>
      </c>
      <c r="D107" s="1">
        <v>2</v>
      </c>
      <c r="E107" s="1">
        <v>0.5</v>
      </c>
      <c r="F107" s="1">
        <f t="shared" si="69"/>
        <v>9.3</v>
      </c>
      <c r="G107" s="1">
        <f t="shared" si="70"/>
        <v>186</v>
      </c>
      <c r="J107" s="1">
        <v>2.5</v>
      </c>
      <c r="K107" s="1">
        <v>0</v>
      </c>
      <c r="L107" s="1">
        <v>0</v>
      </c>
      <c r="M107" s="1">
        <v>0.5</v>
      </c>
      <c r="N107" s="1">
        <f t="shared" si="71"/>
        <v>612.790304167641</v>
      </c>
      <c r="O107" s="1">
        <f t="shared" si="72"/>
        <v>1.5178385236314085</v>
      </c>
      <c r="P107" s="1">
        <f t="shared" si="73"/>
        <v>614.3334399999997</v>
      </c>
      <c r="Q107" s="3">
        <f t="shared" si="74"/>
        <v>10.071039999999995</v>
      </c>
      <c r="R107" s="5">
        <f t="shared" si="75"/>
        <v>645.0204104252119</v>
      </c>
      <c r="S107" s="4">
        <f t="shared" si="76"/>
        <v>0.08658008658008658</v>
      </c>
      <c r="T107" s="4">
        <f t="shared" si="77"/>
        <v>0.01278772378516624</v>
      </c>
      <c r="U107" s="4">
        <f t="shared" si="78"/>
        <v>0.7654320987654322</v>
      </c>
      <c r="V107" s="4">
        <f t="shared" si="79"/>
        <v>9.281437125748504</v>
      </c>
      <c r="W107" s="4">
        <f t="shared" si="80"/>
        <v>0</v>
      </c>
      <c r="X107" s="4">
        <f t="shared" si="81"/>
        <v>0</v>
      </c>
      <c r="Y107" s="4">
        <f t="shared" si="82"/>
        <v>0.07042253521126761</v>
      </c>
      <c r="Z107" s="4">
        <f t="shared" si="83"/>
        <v>0</v>
      </c>
      <c r="AA107" s="4">
        <f t="shared" si="84"/>
        <v>0</v>
      </c>
      <c r="AB107" s="4">
        <f t="shared" si="85"/>
        <v>0.010416666666666666</v>
      </c>
      <c r="AC107" s="4">
        <f t="shared" si="86"/>
        <v>10.045742691272803</v>
      </c>
      <c r="AD107" s="4">
        <f t="shared" si="87"/>
        <v>0.025297308727190142</v>
      </c>
      <c r="AE107" s="1">
        <f t="shared" si="88"/>
        <v>10.146237034879189</v>
      </c>
      <c r="AF107" s="1">
        <f t="shared" si="89"/>
        <v>10.151879201877927</v>
      </c>
      <c r="AG107" s="1">
        <f t="shared" si="90"/>
        <v>-0.005642166998738318</v>
      </c>
      <c r="AH107" s="5">
        <f t="shared" si="91"/>
        <v>-0.02779650551276834</v>
      </c>
      <c r="AI107" s="1">
        <f t="shared" si="92"/>
        <v>20.298116236757117</v>
      </c>
      <c r="AJ107" s="7">
        <f t="shared" si="93"/>
        <v>975.915323637342</v>
      </c>
      <c r="AK107" s="7">
        <f t="shared" si="94"/>
        <v>10.046869224513935</v>
      </c>
      <c r="AL107" s="2">
        <f t="shared" si="95"/>
        <v>884.5862511905276</v>
      </c>
      <c r="AM107" s="16">
        <f t="shared" si="96"/>
        <v>0.46676460710744216</v>
      </c>
      <c r="AN107" s="16">
        <f t="shared" si="97"/>
        <v>103.77322927091689</v>
      </c>
      <c r="AO107" s="16">
        <f t="shared" si="98"/>
        <v>58.954616515074825</v>
      </c>
      <c r="AP107" s="16">
        <f t="shared" si="99"/>
        <v>44.81861275584206</v>
      </c>
      <c r="AQ107" s="16">
        <f t="shared" si="100"/>
        <v>1.9950791220979667</v>
      </c>
      <c r="AR107" s="16">
        <f t="shared" si="101"/>
        <v>1.0070112684659482</v>
      </c>
      <c r="AS107" s="16">
        <f t="shared" si="102"/>
        <v>598.1675134623524</v>
      </c>
      <c r="AT107" s="16">
        <f t="shared" si="103"/>
        <v>454.99314269305376</v>
      </c>
    </row>
    <row r="108" spans="1:46" ht="12.75">
      <c r="A108" s="10" t="s">
        <v>263</v>
      </c>
      <c r="C108" s="3">
        <v>7.7</v>
      </c>
      <c r="D108" s="1">
        <v>2</v>
      </c>
      <c r="E108" s="1">
        <v>0.5</v>
      </c>
      <c r="F108" s="1">
        <f t="shared" si="69"/>
        <v>9.4</v>
      </c>
      <c r="G108" s="1">
        <f t="shared" si="70"/>
        <v>188</v>
      </c>
      <c r="J108" s="1">
        <v>2.5</v>
      </c>
      <c r="K108" s="1">
        <v>0</v>
      </c>
      <c r="L108" s="1">
        <v>0</v>
      </c>
      <c r="M108" s="1">
        <v>0.5</v>
      </c>
      <c r="N108" s="1">
        <f t="shared" si="71"/>
        <v>619.3666236018244</v>
      </c>
      <c r="O108" s="1">
        <f t="shared" si="72"/>
        <v>1.5341276047624615</v>
      </c>
      <c r="P108" s="1">
        <f t="shared" si="73"/>
        <v>620.9263199999996</v>
      </c>
      <c r="Q108" s="3">
        <f t="shared" si="74"/>
        <v>10.179119999999994</v>
      </c>
      <c r="R108" s="5">
        <f t="shared" si="75"/>
        <v>651.9426156749931</v>
      </c>
      <c r="S108" s="4">
        <f t="shared" si="76"/>
        <v>0.08658008658008658</v>
      </c>
      <c r="T108" s="4">
        <f t="shared" si="77"/>
        <v>0.01278772378516624</v>
      </c>
      <c r="U108" s="4">
        <f t="shared" si="78"/>
        <v>0.7736625514403292</v>
      </c>
      <c r="V108" s="4">
        <f t="shared" si="79"/>
        <v>9.3812375249501</v>
      </c>
      <c r="W108" s="4">
        <f t="shared" si="80"/>
        <v>0</v>
      </c>
      <c r="X108" s="4">
        <f t="shared" si="81"/>
        <v>0</v>
      </c>
      <c r="Y108" s="4">
        <f t="shared" si="82"/>
        <v>0.07042253521126761</v>
      </c>
      <c r="Z108" s="4">
        <f t="shared" si="83"/>
        <v>0</v>
      </c>
      <c r="AA108" s="4">
        <f t="shared" si="84"/>
        <v>0</v>
      </c>
      <c r="AB108" s="4">
        <f t="shared" si="85"/>
        <v>0.010416666666666666</v>
      </c>
      <c r="AC108" s="4">
        <f t="shared" si="86"/>
        <v>10.153551206587284</v>
      </c>
      <c r="AD108" s="4">
        <f t="shared" si="87"/>
        <v>0.02556879341270769</v>
      </c>
      <c r="AE108" s="1">
        <f t="shared" si="88"/>
        <v>10.254267886755683</v>
      </c>
      <c r="AF108" s="1">
        <f t="shared" si="89"/>
        <v>10.259959201877926</v>
      </c>
      <c r="AG108" s="1">
        <f t="shared" si="90"/>
        <v>-0.005691315122243523</v>
      </c>
      <c r="AH108" s="5">
        <f t="shared" si="91"/>
        <v>-0.027743258849839535</v>
      </c>
      <c r="AI108" s="1">
        <f t="shared" si="92"/>
        <v>20.51422708863361</v>
      </c>
      <c r="AJ108" s="7">
        <f t="shared" si="93"/>
        <v>986.2782088387436</v>
      </c>
      <c r="AK108" s="7">
        <f t="shared" si="94"/>
        <v>10.15490007639043</v>
      </c>
      <c r="AL108" s="2">
        <f t="shared" si="95"/>
        <v>893.0771865835046</v>
      </c>
      <c r="AM108" s="16">
        <f t="shared" si="96"/>
        <v>0.46676435021586565</v>
      </c>
      <c r="AN108" s="16">
        <f t="shared" si="97"/>
        <v>103.77113803103029</v>
      </c>
      <c r="AO108" s="16">
        <f t="shared" si="98"/>
        <v>58.955225368425005</v>
      </c>
      <c r="AP108" s="16">
        <f t="shared" si="99"/>
        <v>44.81591266260528</v>
      </c>
      <c r="AQ108" s="16">
        <f t="shared" si="100"/>
        <v>1.9951312169832358</v>
      </c>
      <c r="AR108" s="16">
        <f t="shared" si="101"/>
        <v>1.0069902201810268</v>
      </c>
      <c r="AS108" s="16">
        <f t="shared" si="102"/>
        <v>604.5426742518845</v>
      </c>
      <c r="AT108" s="16">
        <f t="shared" si="103"/>
        <v>459.8094355132545</v>
      </c>
    </row>
    <row r="109" spans="1:46" ht="12.75">
      <c r="A109" s="10" t="s">
        <v>264</v>
      </c>
      <c r="C109" s="3">
        <v>7.7</v>
      </c>
      <c r="D109" s="1">
        <v>2</v>
      </c>
      <c r="E109" s="1">
        <v>0.5</v>
      </c>
      <c r="F109" s="1">
        <f t="shared" si="69"/>
        <v>9.5</v>
      </c>
      <c r="G109" s="1">
        <f t="shared" si="70"/>
        <v>190</v>
      </c>
      <c r="J109" s="1">
        <v>2.5</v>
      </c>
      <c r="K109" s="1">
        <v>0</v>
      </c>
      <c r="L109" s="1">
        <v>0</v>
      </c>
      <c r="M109" s="1">
        <v>0.5</v>
      </c>
      <c r="N109" s="1">
        <f t="shared" si="71"/>
        <v>625.9429430360079</v>
      </c>
      <c r="O109" s="1">
        <f t="shared" si="72"/>
        <v>1.550416685893515</v>
      </c>
      <c r="P109" s="1">
        <f t="shared" si="73"/>
        <v>627.5191999999996</v>
      </c>
      <c r="Q109" s="3">
        <f t="shared" si="74"/>
        <v>10.287199999999993</v>
      </c>
      <c r="R109" s="5">
        <f t="shared" si="75"/>
        <v>658.8648209247746</v>
      </c>
      <c r="S109" s="4">
        <f t="shared" si="76"/>
        <v>0.08658008658008658</v>
      </c>
      <c r="T109" s="4">
        <f t="shared" si="77"/>
        <v>0.01278772378516624</v>
      </c>
      <c r="U109" s="4">
        <f t="shared" si="78"/>
        <v>0.7818930041152263</v>
      </c>
      <c r="V109" s="4">
        <f t="shared" si="79"/>
        <v>9.481037924151696</v>
      </c>
      <c r="W109" s="4">
        <f t="shared" si="80"/>
        <v>0</v>
      </c>
      <c r="X109" s="4">
        <f t="shared" si="81"/>
        <v>0</v>
      </c>
      <c r="Y109" s="4">
        <f t="shared" si="82"/>
        <v>0.07042253521126761</v>
      </c>
      <c r="Z109" s="4">
        <f t="shared" si="83"/>
        <v>0</v>
      </c>
      <c r="AA109" s="4">
        <f t="shared" si="84"/>
        <v>0</v>
      </c>
      <c r="AB109" s="4">
        <f t="shared" si="85"/>
        <v>0.010416666666666666</v>
      </c>
      <c r="AC109" s="4">
        <f t="shared" si="86"/>
        <v>10.26135972190177</v>
      </c>
      <c r="AD109" s="4">
        <f t="shared" si="87"/>
        <v>0.02584027809822525</v>
      </c>
      <c r="AE109" s="1">
        <f t="shared" si="88"/>
        <v>10.362298738632175</v>
      </c>
      <c r="AF109" s="1">
        <f t="shared" si="89"/>
        <v>10.368039201877929</v>
      </c>
      <c r="AG109" s="1">
        <f t="shared" si="90"/>
        <v>-0.005740463245754057</v>
      </c>
      <c r="AH109" s="5">
        <f t="shared" si="91"/>
        <v>-0.02769112236485231</v>
      </c>
      <c r="AI109" s="1">
        <f t="shared" si="92"/>
        <v>20.730337940510104</v>
      </c>
      <c r="AJ109" s="7">
        <f t="shared" si="93"/>
        <v>996.6410940401453</v>
      </c>
      <c r="AK109" s="7">
        <f t="shared" si="94"/>
        <v>10.262930928266922</v>
      </c>
      <c r="AL109" s="2">
        <f t="shared" si="95"/>
        <v>901.553854054859</v>
      </c>
      <c r="AM109" s="16">
        <f t="shared" si="96"/>
        <v>0.4667640995259048</v>
      </c>
      <c r="AN109" s="16">
        <f t="shared" si="97"/>
        <v>103.76909038949219</v>
      </c>
      <c r="AO109" s="16">
        <f t="shared" si="98"/>
        <v>58.955821526726</v>
      </c>
      <c r="AP109" s="16">
        <f t="shared" si="99"/>
        <v>44.813268862766186</v>
      </c>
      <c r="AQ109" s="16">
        <f t="shared" si="100"/>
        <v>1.9951822204179028</v>
      </c>
      <c r="AR109" s="16">
        <f t="shared" si="101"/>
        <v>1.0069696102944152</v>
      </c>
      <c r="AS109" s="16">
        <f t="shared" si="102"/>
        <v>610.9178350414164</v>
      </c>
      <c r="AT109" s="16">
        <f t="shared" si="103"/>
        <v>464.6257283334554</v>
      </c>
    </row>
    <row r="110" spans="1:46" ht="12.75">
      <c r="A110" s="10" t="s">
        <v>265</v>
      </c>
      <c r="C110" s="3">
        <v>7.7</v>
      </c>
      <c r="D110" s="1">
        <v>2</v>
      </c>
      <c r="E110" s="1">
        <v>0.5</v>
      </c>
      <c r="F110" s="1">
        <f t="shared" si="69"/>
        <v>9.6</v>
      </c>
      <c r="G110" s="1">
        <f t="shared" si="70"/>
        <v>192</v>
      </c>
      <c r="J110" s="1">
        <v>2.5</v>
      </c>
      <c r="K110" s="1">
        <v>0</v>
      </c>
      <c r="L110" s="1">
        <v>0</v>
      </c>
      <c r="M110" s="1">
        <v>0.5</v>
      </c>
      <c r="N110" s="1">
        <f t="shared" si="71"/>
        <v>632.5192624701913</v>
      </c>
      <c r="O110" s="1">
        <f t="shared" si="72"/>
        <v>1.5667057670245679</v>
      </c>
      <c r="P110" s="1">
        <f t="shared" si="73"/>
        <v>634.1120799999995</v>
      </c>
      <c r="Q110" s="3">
        <f t="shared" si="74"/>
        <v>10.395279999999993</v>
      </c>
      <c r="R110" s="5">
        <f t="shared" si="75"/>
        <v>665.7870261745556</v>
      </c>
      <c r="S110" s="4">
        <f t="shared" si="76"/>
        <v>0.08658008658008658</v>
      </c>
      <c r="T110" s="4">
        <f t="shared" si="77"/>
        <v>0.01278772378516624</v>
      </c>
      <c r="U110" s="4">
        <f t="shared" si="78"/>
        <v>0.7901234567901234</v>
      </c>
      <c r="V110" s="4">
        <f t="shared" si="79"/>
        <v>9.580838323353294</v>
      </c>
      <c r="W110" s="4">
        <f t="shared" si="80"/>
        <v>0</v>
      </c>
      <c r="X110" s="4">
        <f t="shared" si="81"/>
        <v>0</v>
      </c>
      <c r="Y110" s="4">
        <f t="shared" si="82"/>
        <v>0.07042253521126761</v>
      </c>
      <c r="Z110" s="4">
        <f t="shared" si="83"/>
        <v>0</v>
      </c>
      <c r="AA110" s="4">
        <f t="shared" si="84"/>
        <v>0</v>
      </c>
      <c r="AB110" s="4">
        <f t="shared" si="85"/>
        <v>0.010416666666666666</v>
      </c>
      <c r="AC110" s="4">
        <f t="shared" si="86"/>
        <v>10.36916823721625</v>
      </c>
      <c r="AD110" s="4">
        <f t="shared" si="87"/>
        <v>0.026111762783742797</v>
      </c>
      <c r="AE110" s="1">
        <f t="shared" si="88"/>
        <v>10.47032959050867</v>
      </c>
      <c r="AF110" s="1">
        <f t="shared" si="89"/>
        <v>10.476119201877927</v>
      </c>
      <c r="AG110" s="1">
        <f t="shared" si="90"/>
        <v>-0.005789611369255709</v>
      </c>
      <c r="AH110" s="5">
        <f t="shared" si="91"/>
        <v>-0.02764006169561333</v>
      </c>
      <c r="AI110" s="1">
        <f t="shared" si="92"/>
        <v>20.946448792386597</v>
      </c>
      <c r="AJ110" s="7">
        <f t="shared" si="93"/>
        <v>1007.003979241547</v>
      </c>
      <c r="AK110" s="7">
        <f t="shared" si="94"/>
        <v>10.370961780143418</v>
      </c>
      <c r="AL110" s="2">
        <f t="shared" si="95"/>
        <v>910.0163281982503</v>
      </c>
      <c r="AM110" s="16">
        <f t="shared" si="96"/>
        <v>0.46676385481972155</v>
      </c>
      <c r="AN110" s="16">
        <f t="shared" si="97"/>
        <v>103.7670849969551</v>
      </c>
      <c r="AO110" s="16">
        <f t="shared" si="98"/>
        <v>58.95640538293305</v>
      </c>
      <c r="AP110" s="16">
        <f t="shared" si="99"/>
        <v>44.81067961402206</v>
      </c>
      <c r="AQ110" s="16">
        <f t="shared" si="100"/>
        <v>1.9952321663471786</v>
      </c>
      <c r="AR110" s="16">
        <f t="shared" si="101"/>
        <v>1.0069494252506956</v>
      </c>
      <c r="AS110" s="16">
        <f t="shared" si="102"/>
        <v>617.2929958309486</v>
      </c>
      <c r="AT110" s="16">
        <f t="shared" si="103"/>
        <v>469.44202115365624</v>
      </c>
    </row>
    <row r="111" spans="1:46" ht="12.75">
      <c r="A111" s="10" t="s">
        <v>266</v>
      </c>
      <c r="C111" s="3">
        <v>7.7</v>
      </c>
      <c r="D111" s="1">
        <v>2</v>
      </c>
      <c r="E111" s="1">
        <v>0.5</v>
      </c>
      <c r="F111" s="1">
        <f t="shared" si="69"/>
        <v>9.7</v>
      </c>
      <c r="G111" s="1">
        <f t="shared" si="70"/>
        <v>194</v>
      </c>
      <c r="J111" s="1">
        <v>2.5</v>
      </c>
      <c r="K111" s="1">
        <v>0</v>
      </c>
      <c r="L111" s="1">
        <v>0</v>
      </c>
      <c r="M111" s="1">
        <v>0.5</v>
      </c>
      <c r="N111" s="1">
        <f t="shared" si="71"/>
        <v>639.0955819043746</v>
      </c>
      <c r="O111" s="1">
        <f t="shared" si="72"/>
        <v>1.5829948481556209</v>
      </c>
      <c r="P111" s="1">
        <f t="shared" si="73"/>
        <v>640.7049599999995</v>
      </c>
      <c r="Q111" s="3">
        <f t="shared" si="74"/>
        <v>10.503359999999992</v>
      </c>
      <c r="R111" s="5">
        <f t="shared" si="75"/>
        <v>672.7092314243368</v>
      </c>
      <c r="S111" s="4">
        <f t="shared" si="76"/>
        <v>0.08658008658008658</v>
      </c>
      <c r="T111" s="4">
        <f t="shared" si="77"/>
        <v>0.01278772378516624</v>
      </c>
      <c r="U111" s="4">
        <f t="shared" si="78"/>
        <v>0.7983539094650205</v>
      </c>
      <c r="V111" s="4">
        <f t="shared" si="79"/>
        <v>9.68063872255489</v>
      </c>
      <c r="W111" s="4">
        <f t="shared" si="80"/>
        <v>0</v>
      </c>
      <c r="X111" s="4">
        <f t="shared" si="81"/>
        <v>0</v>
      </c>
      <c r="Y111" s="4">
        <f t="shared" si="82"/>
        <v>0.07042253521126761</v>
      </c>
      <c r="Z111" s="4">
        <f t="shared" si="83"/>
        <v>0</v>
      </c>
      <c r="AA111" s="4">
        <f t="shared" si="84"/>
        <v>0</v>
      </c>
      <c r="AB111" s="4">
        <f t="shared" si="85"/>
        <v>0.010416666666666666</v>
      </c>
      <c r="AC111" s="4">
        <f t="shared" si="86"/>
        <v>10.476976752530732</v>
      </c>
      <c r="AD111" s="4">
        <f t="shared" si="87"/>
        <v>0.026383247469260348</v>
      </c>
      <c r="AE111" s="1">
        <f t="shared" si="88"/>
        <v>10.578360442385163</v>
      </c>
      <c r="AF111" s="1">
        <f t="shared" si="89"/>
        <v>10.584199201877926</v>
      </c>
      <c r="AG111" s="1">
        <f t="shared" si="90"/>
        <v>-0.005838759492762691</v>
      </c>
      <c r="AH111" s="5">
        <f t="shared" si="91"/>
        <v>-0.027590043883682597</v>
      </c>
      <c r="AI111" s="1">
        <f t="shared" si="92"/>
        <v>21.16255964426309</v>
      </c>
      <c r="AJ111" s="7">
        <f t="shared" si="93"/>
        <v>1017.3668644429486</v>
      </c>
      <c r="AK111" s="7">
        <f t="shared" si="94"/>
        <v>10.478992632019912</v>
      </c>
      <c r="AL111" s="2">
        <f t="shared" si="95"/>
        <v>918.4646824495213</v>
      </c>
      <c r="AM111" s="16">
        <f t="shared" si="96"/>
        <v>0.4667636158894227</v>
      </c>
      <c r="AN111" s="16">
        <f t="shared" si="97"/>
        <v>103.76512055918514</v>
      </c>
      <c r="AO111" s="16">
        <f t="shared" si="98"/>
        <v>58.956977313949295</v>
      </c>
      <c r="AP111" s="16">
        <f t="shared" si="99"/>
        <v>44.80814324523585</v>
      </c>
      <c r="AQ111" s="16">
        <f t="shared" si="100"/>
        <v>1.995281087323077</v>
      </c>
      <c r="AR111" s="16">
        <f t="shared" si="101"/>
        <v>1.006929652047601</v>
      </c>
      <c r="AS111" s="16">
        <f t="shared" si="102"/>
        <v>623.6681566204807</v>
      </c>
      <c r="AT111" s="16">
        <f t="shared" si="103"/>
        <v>474.258313973857</v>
      </c>
    </row>
    <row r="112" spans="1:46" ht="12.75">
      <c r="A112" s="10" t="s">
        <v>267</v>
      </c>
      <c r="C112" s="3">
        <v>7.7</v>
      </c>
      <c r="D112" s="1">
        <v>2</v>
      </c>
      <c r="E112" s="1">
        <v>0.5</v>
      </c>
      <c r="F112" s="1">
        <f t="shared" si="69"/>
        <v>9.8</v>
      </c>
      <c r="G112" s="1">
        <f t="shared" si="70"/>
        <v>196</v>
      </c>
      <c r="J112" s="1">
        <v>2.5</v>
      </c>
      <c r="K112" s="1">
        <v>0</v>
      </c>
      <c r="L112" s="1">
        <v>0</v>
      </c>
      <c r="M112" s="1">
        <v>0.5</v>
      </c>
      <c r="N112" s="1">
        <f t="shared" si="71"/>
        <v>645.6719013385581</v>
      </c>
      <c r="O112" s="1">
        <f t="shared" si="72"/>
        <v>1.5992839292866743</v>
      </c>
      <c r="P112" s="1">
        <f t="shared" si="73"/>
        <v>647.2978399999995</v>
      </c>
      <c r="Q112" s="3">
        <f t="shared" si="74"/>
        <v>10.611439999999991</v>
      </c>
      <c r="R112" s="5">
        <f t="shared" si="75"/>
        <v>679.6314366741182</v>
      </c>
      <c r="S112" s="4">
        <f t="shared" si="76"/>
        <v>0.08658008658008658</v>
      </c>
      <c r="T112" s="4">
        <f t="shared" si="77"/>
        <v>0.01278772378516624</v>
      </c>
      <c r="U112" s="4">
        <f t="shared" si="78"/>
        <v>0.8065843621399177</v>
      </c>
      <c r="V112" s="4">
        <f t="shared" si="79"/>
        <v>9.780439121756487</v>
      </c>
      <c r="W112" s="4">
        <f t="shared" si="80"/>
        <v>0</v>
      </c>
      <c r="X112" s="4">
        <f t="shared" si="81"/>
        <v>0</v>
      </c>
      <c r="Y112" s="4">
        <f t="shared" si="82"/>
        <v>0.07042253521126761</v>
      </c>
      <c r="Z112" s="4">
        <f t="shared" si="83"/>
        <v>0</v>
      </c>
      <c r="AA112" s="4">
        <f t="shared" si="84"/>
        <v>0</v>
      </c>
      <c r="AB112" s="4">
        <f t="shared" si="85"/>
        <v>0.010416666666666666</v>
      </c>
      <c r="AC112" s="4">
        <f t="shared" si="86"/>
        <v>10.584785267845215</v>
      </c>
      <c r="AD112" s="4">
        <f t="shared" si="87"/>
        <v>0.026654732154777906</v>
      </c>
      <c r="AE112" s="1">
        <f t="shared" si="88"/>
        <v>10.686391294261657</v>
      </c>
      <c r="AF112" s="1">
        <f t="shared" si="89"/>
        <v>10.692279201877927</v>
      </c>
      <c r="AG112" s="1">
        <f t="shared" si="90"/>
        <v>-0.005887907616269672</v>
      </c>
      <c r="AH112" s="5">
        <f t="shared" si="91"/>
        <v>-0.027541037303198394</v>
      </c>
      <c r="AI112" s="1">
        <f t="shared" si="92"/>
        <v>21.378670496139584</v>
      </c>
      <c r="AJ112" s="7">
        <f t="shared" si="93"/>
        <v>1027.7297496443502</v>
      </c>
      <c r="AK112" s="7">
        <f t="shared" si="94"/>
        <v>10.587023483896404</v>
      </c>
      <c r="AL112" s="2">
        <f t="shared" si="95"/>
        <v>926.8989891163469</v>
      </c>
      <c r="AM112" s="16">
        <f t="shared" si="96"/>
        <v>0.4667633825365044</v>
      </c>
      <c r="AN112" s="16">
        <f t="shared" si="97"/>
        <v>103.76319583427656</v>
      </c>
      <c r="AO112" s="16">
        <f t="shared" si="98"/>
        <v>58.95753768143706</v>
      </c>
      <c r="AP112" s="16">
        <f t="shared" si="99"/>
        <v>44.80565815283949</v>
      </c>
      <c r="AQ112" s="16">
        <f t="shared" si="100"/>
        <v>1.9953290145751648</v>
      </c>
      <c r="AR112" s="16">
        <f t="shared" si="101"/>
        <v>1.0069102782080823</v>
      </c>
      <c r="AS112" s="16">
        <f t="shared" si="102"/>
        <v>630.0433174100126</v>
      </c>
      <c r="AT112" s="16">
        <f t="shared" si="103"/>
        <v>479.07460679405784</v>
      </c>
    </row>
    <row r="113" spans="1:46" ht="12.75">
      <c r="A113" s="10" t="s">
        <v>268</v>
      </c>
      <c r="C113" s="3">
        <v>7.7</v>
      </c>
      <c r="D113" s="1">
        <v>2</v>
      </c>
      <c r="E113" s="1">
        <v>0.5</v>
      </c>
      <c r="F113" s="1">
        <f t="shared" si="69"/>
        <v>9.9</v>
      </c>
      <c r="G113" s="1">
        <f t="shared" si="70"/>
        <v>198</v>
      </c>
      <c r="J113" s="1">
        <v>2.5</v>
      </c>
      <c r="K113" s="1">
        <v>0</v>
      </c>
      <c r="L113" s="1">
        <v>0</v>
      </c>
      <c r="M113" s="1">
        <v>0.5</v>
      </c>
      <c r="N113" s="1">
        <f t="shared" si="71"/>
        <v>652.2482207727414</v>
      </c>
      <c r="O113" s="1">
        <f t="shared" si="72"/>
        <v>1.6155730104177273</v>
      </c>
      <c r="P113" s="1">
        <f t="shared" si="73"/>
        <v>653.8907199999994</v>
      </c>
      <c r="Q113" s="3">
        <f t="shared" si="74"/>
        <v>10.71951999999999</v>
      </c>
      <c r="R113" s="5">
        <f t="shared" si="75"/>
        <v>686.5536419238992</v>
      </c>
      <c r="S113" s="4">
        <f t="shared" si="76"/>
        <v>0.08658008658008658</v>
      </c>
      <c r="T113" s="4">
        <f t="shared" si="77"/>
        <v>0.01278772378516624</v>
      </c>
      <c r="U113" s="4">
        <f t="shared" si="78"/>
        <v>0.8148148148148148</v>
      </c>
      <c r="V113" s="4">
        <f t="shared" si="79"/>
        <v>9.880239520958085</v>
      </c>
      <c r="W113" s="4">
        <f t="shared" si="80"/>
        <v>0</v>
      </c>
      <c r="X113" s="4">
        <f t="shared" si="81"/>
        <v>0</v>
      </c>
      <c r="Y113" s="4">
        <f t="shared" si="82"/>
        <v>0.07042253521126761</v>
      </c>
      <c r="Z113" s="4">
        <f t="shared" si="83"/>
        <v>0</v>
      </c>
      <c r="AA113" s="4">
        <f t="shared" si="84"/>
        <v>0</v>
      </c>
      <c r="AB113" s="4">
        <f t="shared" si="85"/>
        <v>0.010416666666666666</v>
      </c>
      <c r="AC113" s="4">
        <f t="shared" si="86"/>
        <v>10.692593783159696</v>
      </c>
      <c r="AD113" s="4">
        <f t="shared" si="87"/>
        <v>0.026926216840295454</v>
      </c>
      <c r="AE113" s="1">
        <f t="shared" si="88"/>
        <v>10.794422146138153</v>
      </c>
      <c r="AF113" s="1">
        <f t="shared" si="89"/>
        <v>10.800359201877924</v>
      </c>
      <c r="AG113" s="1">
        <f t="shared" si="90"/>
        <v>-0.005937055739771324</v>
      </c>
      <c r="AH113" s="5">
        <f t="shared" si="91"/>
        <v>-0.02749301159428856</v>
      </c>
      <c r="AI113" s="1">
        <f t="shared" si="92"/>
        <v>21.594781348016078</v>
      </c>
      <c r="AJ113" s="7">
        <f t="shared" si="93"/>
        <v>1038.0926348457517</v>
      </c>
      <c r="AK113" s="7">
        <f t="shared" si="94"/>
        <v>10.6950543357729</v>
      </c>
      <c r="AL113" s="2">
        <f t="shared" si="95"/>
        <v>935.3193194068226</v>
      </c>
      <c r="AM113" s="16">
        <f t="shared" si="96"/>
        <v>0.4667631545713329</v>
      </c>
      <c r="AN113" s="16">
        <f t="shared" si="97"/>
        <v>103.76130963003368</v>
      </c>
      <c r="AO113" s="16">
        <f t="shared" si="98"/>
        <v>58.95808683258065</v>
      </c>
      <c r="AP113" s="16">
        <f t="shared" si="99"/>
        <v>44.80322279745303</v>
      </c>
      <c r="AQ113" s="16">
        <f t="shared" si="100"/>
        <v>1.9953759780770417</v>
      </c>
      <c r="AR113" s="16">
        <f t="shared" si="101"/>
        <v>1.0068912917540558</v>
      </c>
      <c r="AS113" s="16">
        <f t="shared" si="102"/>
        <v>636.4184781995448</v>
      </c>
      <c r="AT113" s="16">
        <f t="shared" si="103"/>
        <v>483.8908996142587</v>
      </c>
    </row>
    <row r="114" spans="1:46" ht="12.75">
      <c r="A114" s="10" t="s">
        <v>269</v>
      </c>
      <c r="C114" s="3">
        <v>7.7</v>
      </c>
      <c r="D114" s="1">
        <v>2</v>
      </c>
      <c r="E114" s="1">
        <v>0.5</v>
      </c>
      <c r="F114" s="1">
        <f t="shared" si="69"/>
        <v>10</v>
      </c>
      <c r="G114" s="1">
        <f t="shared" si="70"/>
        <v>200</v>
      </c>
      <c r="J114" s="1">
        <v>2.5</v>
      </c>
      <c r="K114" s="1">
        <v>0</v>
      </c>
      <c r="L114" s="1">
        <v>0</v>
      </c>
      <c r="M114" s="1">
        <v>0.5</v>
      </c>
      <c r="N114" s="1">
        <f t="shared" si="71"/>
        <v>658.8245402069248</v>
      </c>
      <c r="O114" s="1">
        <f t="shared" si="72"/>
        <v>1.6318620915487803</v>
      </c>
      <c r="P114" s="1">
        <f t="shared" si="73"/>
        <v>660.4835999999993</v>
      </c>
      <c r="Q114" s="3">
        <f t="shared" si="74"/>
        <v>10.82759999999999</v>
      </c>
      <c r="R114" s="5">
        <f t="shared" si="75"/>
        <v>693.4758471736804</v>
      </c>
      <c r="S114" s="4">
        <f t="shared" si="76"/>
        <v>0.08658008658008658</v>
      </c>
      <c r="T114" s="4">
        <f t="shared" si="77"/>
        <v>0.01278772378516624</v>
      </c>
      <c r="U114" s="4">
        <f t="shared" si="78"/>
        <v>0.823045267489712</v>
      </c>
      <c r="V114" s="4">
        <f t="shared" si="79"/>
        <v>9.980039920159681</v>
      </c>
      <c r="W114" s="4">
        <f t="shared" si="80"/>
        <v>0</v>
      </c>
      <c r="X114" s="4">
        <f t="shared" si="81"/>
        <v>0</v>
      </c>
      <c r="Y114" s="4">
        <f t="shared" si="82"/>
        <v>0.07042253521126761</v>
      </c>
      <c r="Z114" s="4">
        <f t="shared" si="83"/>
        <v>0</v>
      </c>
      <c r="AA114" s="4">
        <f t="shared" si="84"/>
        <v>0</v>
      </c>
      <c r="AB114" s="4">
        <f t="shared" si="85"/>
        <v>0.010416666666666666</v>
      </c>
      <c r="AC114" s="4">
        <f t="shared" si="86"/>
        <v>10.800402298474177</v>
      </c>
      <c r="AD114" s="4">
        <f t="shared" si="87"/>
        <v>0.027197701525813005</v>
      </c>
      <c r="AE114" s="1">
        <f t="shared" si="88"/>
        <v>10.902452998014645</v>
      </c>
      <c r="AF114" s="1">
        <f t="shared" si="89"/>
        <v>10.908439201877924</v>
      </c>
      <c r="AG114" s="1">
        <f t="shared" si="90"/>
        <v>-0.0059862038632783054</v>
      </c>
      <c r="AH114" s="5">
        <f t="shared" si="91"/>
        <v>-0.027445937600424207</v>
      </c>
      <c r="AI114" s="1">
        <f t="shared" si="92"/>
        <v>21.81089219989257</v>
      </c>
      <c r="AJ114" s="7">
        <f t="shared" si="93"/>
        <v>1048.4555200471532</v>
      </c>
      <c r="AK114" s="7">
        <f t="shared" si="94"/>
        <v>10.803085187649394</v>
      </c>
      <c r="AL114" s="2">
        <f t="shared" si="95"/>
        <v>943.7257434570557</v>
      </c>
      <c r="AM114" s="16">
        <f t="shared" si="96"/>
        <v>0.4667629318126613</v>
      </c>
      <c r="AN114" s="16">
        <f t="shared" si="97"/>
        <v>103.75946080150824</v>
      </c>
      <c r="AO114" s="16">
        <f t="shared" si="98"/>
        <v>58.958625100803516</v>
      </c>
      <c r="AP114" s="16">
        <f t="shared" si="99"/>
        <v>44.800835700704724</v>
      </c>
      <c r="AQ114" s="16">
        <f t="shared" si="100"/>
        <v>1.9954220066088533</v>
      </c>
      <c r="AR114" s="16">
        <f t="shared" si="101"/>
        <v>1.0068726811817053</v>
      </c>
      <c r="AS114" s="16">
        <f t="shared" si="102"/>
        <v>642.7936389890768</v>
      </c>
      <c r="AT114" s="16">
        <f t="shared" si="103"/>
        <v>488.70719243445944</v>
      </c>
    </row>
    <row r="115" spans="1:46" ht="12.75">
      <c r="A115" s="10" t="s">
        <v>270</v>
      </c>
      <c r="C115" s="3">
        <v>7.7</v>
      </c>
      <c r="D115" s="1">
        <v>2</v>
      </c>
      <c r="E115" s="1">
        <v>0.5</v>
      </c>
      <c r="F115" s="1">
        <f t="shared" si="69"/>
        <v>10.1</v>
      </c>
      <c r="G115" s="1">
        <f t="shared" si="70"/>
        <v>202</v>
      </c>
      <c r="J115" s="1">
        <v>2.5</v>
      </c>
      <c r="K115" s="1">
        <v>0</v>
      </c>
      <c r="L115" s="1">
        <v>0</v>
      </c>
      <c r="M115" s="1">
        <v>0.5</v>
      </c>
      <c r="N115" s="1">
        <f t="shared" si="71"/>
        <v>665.4008596411082</v>
      </c>
      <c r="O115" s="1">
        <f t="shared" si="72"/>
        <v>1.6481511726798337</v>
      </c>
      <c r="P115" s="1">
        <f t="shared" si="73"/>
        <v>667.0764799999994</v>
      </c>
      <c r="Q115" s="3">
        <f t="shared" si="74"/>
        <v>10.935679999999989</v>
      </c>
      <c r="R115" s="5">
        <f t="shared" si="75"/>
        <v>700.3980524234618</v>
      </c>
      <c r="S115" s="4">
        <f t="shared" si="76"/>
        <v>0.08658008658008658</v>
      </c>
      <c r="T115" s="4">
        <f t="shared" si="77"/>
        <v>0.01278772378516624</v>
      </c>
      <c r="U115" s="4">
        <f t="shared" si="78"/>
        <v>0.831275720164609</v>
      </c>
      <c r="V115" s="4">
        <f t="shared" si="79"/>
        <v>10.079840319361278</v>
      </c>
      <c r="W115" s="4">
        <f t="shared" si="80"/>
        <v>0</v>
      </c>
      <c r="X115" s="4">
        <f t="shared" si="81"/>
        <v>0</v>
      </c>
      <c r="Y115" s="4">
        <f t="shared" si="82"/>
        <v>0.07042253521126761</v>
      </c>
      <c r="Z115" s="4">
        <f t="shared" si="83"/>
        <v>0</v>
      </c>
      <c r="AA115" s="4">
        <f t="shared" si="84"/>
        <v>0</v>
      </c>
      <c r="AB115" s="4">
        <f t="shared" si="85"/>
        <v>0.010416666666666666</v>
      </c>
      <c r="AC115" s="4">
        <f t="shared" si="86"/>
        <v>10.90821081378866</v>
      </c>
      <c r="AD115" s="4">
        <f t="shared" si="87"/>
        <v>0.02746918621133056</v>
      </c>
      <c r="AE115" s="1">
        <f t="shared" si="88"/>
        <v>11.01048384989114</v>
      </c>
      <c r="AF115" s="1">
        <f t="shared" si="89"/>
        <v>11.016519201877925</v>
      </c>
      <c r="AG115" s="1">
        <f t="shared" si="90"/>
        <v>-0.006035351986785287</v>
      </c>
      <c r="AH115" s="5">
        <f t="shared" si="91"/>
        <v>-0.027399787309243445</v>
      </c>
      <c r="AI115" s="1">
        <f t="shared" si="92"/>
        <v>22.027003051769064</v>
      </c>
      <c r="AJ115" s="7">
        <f t="shared" si="93"/>
        <v>1058.8184052485549</v>
      </c>
      <c r="AK115" s="7">
        <f t="shared" si="94"/>
        <v>10.911116039525886</v>
      </c>
      <c r="AL115" s="2">
        <f t="shared" si="95"/>
        <v>952.1183303577932</v>
      </c>
      <c r="AM115" s="16">
        <f t="shared" si="96"/>
        <v>0.4667627140871748</v>
      </c>
      <c r="AN115" s="16">
        <f t="shared" si="97"/>
        <v>103.75764824868182</v>
      </c>
      <c r="AO115" s="16">
        <f t="shared" si="98"/>
        <v>58.95915280644339</v>
      </c>
      <c r="AP115" s="16">
        <f t="shared" si="99"/>
        <v>44.79849544223842</v>
      </c>
      <c r="AQ115" s="16">
        <f t="shared" si="100"/>
        <v>1.995467127816103</v>
      </c>
      <c r="AR115" s="16">
        <f t="shared" si="101"/>
        <v>1.0068544354382416</v>
      </c>
      <c r="AS115" s="16">
        <f t="shared" si="102"/>
        <v>649.1687997786088</v>
      </c>
      <c r="AT115" s="16">
        <f t="shared" si="103"/>
        <v>493.5234852546603</v>
      </c>
    </row>
    <row r="116" spans="1:46" ht="12.75">
      <c r="A116" s="10" t="s">
        <v>271</v>
      </c>
      <c r="C116" s="3">
        <v>7.7</v>
      </c>
      <c r="D116" s="1">
        <v>2</v>
      </c>
      <c r="E116" s="1">
        <v>0.5</v>
      </c>
      <c r="F116" s="1">
        <f t="shared" si="69"/>
        <v>10.2</v>
      </c>
      <c r="G116" s="1">
        <f t="shared" si="70"/>
        <v>204</v>
      </c>
      <c r="J116" s="1">
        <v>2.5</v>
      </c>
      <c r="K116" s="1">
        <v>0</v>
      </c>
      <c r="L116" s="1">
        <v>0</v>
      </c>
      <c r="M116" s="1">
        <v>0.5</v>
      </c>
      <c r="N116" s="1">
        <f t="shared" si="71"/>
        <v>671.9771790752916</v>
      </c>
      <c r="O116" s="1">
        <f t="shared" si="72"/>
        <v>1.6644402538108867</v>
      </c>
      <c r="P116" s="1">
        <f t="shared" si="73"/>
        <v>673.6693599999993</v>
      </c>
      <c r="Q116" s="3">
        <f t="shared" si="74"/>
        <v>11.043759999999988</v>
      </c>
      <c r="R116" s="5">
        <f t="shared" si="75"/>
        <v>707.3202576732428</v>
      </c>
      <c r="S116" s="4">
        <f t="shared" si="76"/>
        <v>0.08658008658008658</v>
      </c>
      <c r="T116" s="4">
        <f t="shared" si="77"/>
        <v>0.01278772378516624</v>
      </c>
      <c r="U116" s="4">
        <f t="shared" si="78"/>
        <v>0.8395061728395061</v>
      </c>
      <c r="V116" s="4">
        <f t="shared" si="79"/>
        <v>10.179640718562874</v>
      </c>
      <c r="W116" s="4">
        <f t="shared" si="80"/>
        <v>0</v>
      </c>
      <c r="X116" s="4">
        <f t="shared" si="81"/>
        <v>0</v>
      </c>
      <c r="Y116" s="4">
        <f t="shared" si="82"/>
        <v>0.07042253521126761</v>
      </c>
      <c r="Z116" s="4">
        <f t="shared" si="83"/>
        <v>0</v>
      </c>
      <c r="AA116" s="4">
        <f t="shared" si="84"/>
        <v>0</v>
      </c>
      <c r="AB116" s="4">
        <f t="shared" si="85"/>
        <v>0.010416666666666666</v>
      </c>
      <c r="AC116" s="4">
        <f t="shared" si="86"/>
        <v>11.016019329103141</v>
      </c>
      <c r="AD116" s="4">
        <f t="shared" si="87"/>
        <v>0.02774067089684811</v>
      </c>
      <c r="AE116" s="1">
        <f t="shared" si="88"/>
        <v>11.118514701767634</v>
      </c>
      <c r="AF116" s="1">
        <f t="shared" si="89"/>
        <v>11.124599201877924</v>
      </c>
      <c r="AG116" s="1">
        <f t="shared" si="90"/>
        <v>-0.006084500110290492</v>
      </c>
      <c r="AH116" s="5">
        <f t="shared" si="91"/>
        <v>-0.02735453379705647</v>
      </c>
      <c r="AI116" s="1">
        <f t="shared" si="92"/>
        <v>22.243113903645558</v>
      </c>
      <c r="AJ116" s="7">
        <f t="shared" si="93"/>
        <v>1069.1812904499566</v>
      </c>
      <c r="AK116" s="7">
        <f t="shared" si="94"/>
        <v>11.01914689140238</v>
      </c>
      <c r="AL116" s="2">
        <f t="shared" si="95"/>
        <v>960.4971481801342</v>
      </c>
      <c r="AM116" s="16">
        <f t="shared" si="96"/>
        <v>0.46676250122906554</v>
      </c>
      <c r="AN116" s="16">
        <f t="shared" si="97"/>
        <v>103.75587091428338</v>
      </c>
      <c r="AO116" s="16">
        <f t="shared" si="98"/>
        <v>58.95967025738805</v>
      </c>
      <c r="AP116" s="16">
        <f t="shared" si="99"/>
        <v>44.79620065689533</v>
      </c>
      <c r="AQ116" s="16">
        <f t="shared" si="100"/>
        <v>1.9955113682650245</v>
      </c>
      <c r="AR116" s="16">
        <f t="shared" si="101"/>
        <v>1.0068365439000113</v>
      </c>
      <c r="AS116" s="16">
        <f t="shared" si="102"/>
        <v>655.5439605681408</v>
      </c>
      <c r="AT116" s="16">
        <f t="shared" si="103"/>
        <v>498.3397780748611</v>
      </c>
    </row>
    <row r="117" spans="1:46" ht="12.75">
      <c r="A117" s="10" t="s">
        <v>272</v>
      </c>
      <c r="C117" s="3">
        <v>7.7</v>
      </c>
      <c r="D117" s="1">
        <v>2</v>
      </c>
      <c r="E117" s="1">
        <v>0.5</v>
      </c>
      <c r="F117" s="1">
        <f t="shared" si="69"/>
        <v>10.3</v>
      </c>
      <c r="G117" s="1">
        <f t="shared" si="70"/>
        <v>206</v>
      </c>
      <c r="J117" s="1">
        <v>2.5</v>
      </c>
      <c r="K117" s="1">
        <v>0</v>
      </c>
      <c r="L117" s="1">
        <v>0</v>
      </c>
      <c r="M117" s="1">
        <v>0.5</v>
      </c>
      <c r="N117" s="1">
        <f t="shared" si="71"/>
        <v>678.5534985094749</v>
      </c>
      <c r="O117" s="1">
        <f t="shared" si="72"/>
        <v>1.6807293349419397</v>
      </c>
      <c r="P117" s="1">
        <f t="shared" si="73"/>
        <v>680.2622399999992</v>
      </c>
      <c r="Q117" s="3">
        <f t="shared" si="74"/>
        <v>11.151839999999988</v>
      </c>
      <c r="R117" s="5">
        <f t="shared" si="75"/>
        <v>714.242462923024</v>
      </c>
      <c r="S117" s="4">
        <f t="shared" si="76"/>
        <v>0.08658008658008658</v>
      </c>
      <c r="T117" s="4">
        <f t="shared" si="77"/>
        <v>0.01278772378516624</v>
      </c>
      <c r="U117" s="4">
        <f t="shared" si="78"/>
        <v>0.8477366255144033</v>
      </c>
      <c r="V117" s="4">
        <f t="shared" si="79"/>
        <v>10.279441117764472</v>
      </c>
      <c r="W117" s="4">
        <f t="shared" si="80"/>
        <v>0</v>
      </c>
      <c r="X117" s="4">
        <f t="shared" si="81"/>
        <v>0</v>
      </c>
      <c r="Y117" s="4">
        <f t="shared" si="82"/>
        <v>0.07042253521126761</v>
      </c>
      <c r="Z117" s="4">
        <f t="shared" si="83"/>
        <v>0</v>
      </c>
      <c r="AA117" s="4">
        <f t="shared" si="84"/>
        <v>0</v>
      </c>
      <c r="AB117" s="4">
        <f t="shared" si="85"/>
        <v>0.010416666666666666</v>
      </c>
      <c r="AC117" s="4">
        <f t="shared" si="86"/>
        <v>11.123827844417622</v>
      </c>
      <c r="AD117" s="4">
        <f t="shared" si="87"/>
        <v>0.02801215558236566</v>
      </c>
      <c r="AE117" s="1">
        <f t="shared" si="88"/>
        <v>11.226545553644128</v>
      </c>
      <c r="AF117" s="1">
        <f t="shared" si="89"/>
        <v>11.232679201877922</v>
      </c>
      <c r="AG117" s="1">
        <f t="shared" si="90"/>
        <v>-0.00613364823379392</v>
      </c>
      <c r="AH117" s="5">
        <f t="shared" si="91"/>
        <v>-0.02731015117645964</v>
      </c>
      <c r="AI117" s="1">
        <f t="shared" si="92"/>
        <v>22.45922475552205</v>
      </c>
      <c r="AJ117" s="7">
        <f t="shared" si="93"/>
        <v>1079.544175651358</v>
      </c>
      <c r="AK117" s="7">
        <f t="shared" si="94"/>
        <v>11.127177743278876</v>
      </c>
      <c r="AL117" s="2">
        <f t="shared" si="95"/>
        <v>968.8622640003659</v>
      </c>
      <c r="AM117" s="16">
        <f t="shared" si="96"/>
        <v>0.46676229307963596</v>
      </c>
      <c r="AN117" s="16">
        <f t="shared" si="97"/>
        <v>103.75412778173272</v>
      </c>
      <c r="AO117" s="16">
        <f t="shared" si="98"/>
        <v>58.960177749674266</v>
      </c>
      <c r="AP117" s="16">
        <f t="shared" si="99"/>
        <v>44.793950032058454</v>
      </c>
      <c r="AQ117" s="16">
        <f t="shared" si="100"/>
        <v>1.9955547534947375</v>
      </c>
      <c r="AR117" s="16">
        <f t="shared" si="101"/>
        <v>1.0068189963518708</v>
      </c>
      <c r="AS117" s="16">
        <f t="shared" si="102"/>
        <v>661.919121357673</v>
      </c>
      <c r="AT117" s="16">
        <f t="shared" si="103"/>
        <v>503.1560708950619</v>
      </c>
    </row>
    <row r="118" spans="1:46" ht="12.75">
      <c r="A118" s="10" t="s">
        <v>273</v>
      </c>
      <c r="C118" s="3">
        <v>7.7</v>
      </c>
      <c r="D118" s="1">
        <v>2</v>
      </c>
      <c r="E118" s="1">
        <v>0.5</v>
      </c>
      <c r="F118" s="1">
        <f>G118/20</f>
        <v>10.4</v>
      </c>
      <c r="G118" s="1">
        <f>G117+2</f>
        <v>208</v>
      </c>
      <c r="J118" s="1">
        <v>2.5</v>
      </c>
      <c r="K118" s="1">
        <v>0</v>
      </c>
      <c r="L118" s="1">
        <v>0</v>
      </c>
      <c r="M118" s="1">
        <v>0.5</v>
      </c>
      <c r="N118" s="1">
        <f>Q118*61*(1-10^-10.3/10^-C118)</f>
        <v>685.1298179436583</v>
      </c>
      <c r="O118" s="1">
        <f>Q118*60*10^-10.3/10^-C118</f>
        <v>1.697018416072993</v>
      </c>
      <c r="P118" s="1">
        <f>Q118*61</f>
        <v>686.8551199999991</v>
      </c>
      <c r="Q118" s="3">
        <f>Q117+0.193*$Q$19</f>
        <v>11.259919999999987</v>
      </c>
      <c r="R118" s="5">
        <f>(10^(-C118))*N118/10^-6.4+N118+O118</f>
        <v>721.1646681728052</v>
      </c>
      <c r="S118" s="4">
        <f>D118/23.1</f>
        <v>0.08658008658008658</v>
      </c>
      <c r="T118" s="4">
        <f>E118/39.1</f>
        <v>0.01278772378516624</v>
      </c>
      <c r="U118" s="4">
        <f>F118/12.15</f>
        <v>0.8559670781893004</v>
      </c>
      <c r="V118" s="4">
        <f>G118/20.04</f>
        <v>10.379241516966069</v>
      </c>
      <c r="W118" s="4">
        <f>H118/37.85</f>
        <v>0</v>
      </c>
      <c r="X118" s="4">
        <f>I118/19</f>
        <v>0</v>
      </c>
      <c r="Y118" s="4">
        <f>J118/35.5</f>
        <v>0.07042253521126761</v>
      </c>
      <c r="Z118" s="4">
        <f>K118/62</f>
        <v>0</v>
      </c>
      <c r="AA118" s="4">
        <f aca="true" t="shared" si="104" ref="AA118:AB121">L118/48</f>
        <v>0</v>
      </c>
      <c r="AB118" s="4">
        <f t="shared" si="104"/>
        <v>0.010416666666666666</v>
      </c>
      <c r="AC118" s="4">
        <f>N118/61</f>
        <v>11.231636359732104</v>
      </c>
      <c r="AD118" s="4">
        <f>O118/60</f>
        <v>0.028283640267883218</v>
      </c>
      <c r="AE118" s="1">
        <f>SUM(S118:W118)</f>
        <v>11.334576405520622</v>
      </c>
      <c r="AF118" s="1">
        <f>SUM(X118:AD118)</f>
        <v>11.34075920187792</v>
      </c>
      <c r="AG118" s="1">
        <f>AE118-AF118</f>
        <v>-0.006182796357299125</v>
      </c>
      <c r="AH118" s="5">
        <f>(AE118-AF118)/(AE118+AF118)*100</f>
        <v>-0.02726661454696085</v>
      </c>
      <c r="AI118" s="1">
        <f>AE118+AF118</f>
        <v>22.675335607398544</v>
      </c>
      <c r="AJ118" s="7">
        <f>G118*2.6+F118*3.82+E118*1.84+D118*2.13+N118*0.72+O118*2.82+J118*2.14+K118*1.15+M118*1.54</f>
        <v>1089.9070608527597</v>
      </c>
      <c r="AK118" s="7">
        <f>V118+U118</f>
        <v>11.235208595155369</v>
      </c>
      <c r="AL118" s="2">
        <f>AS118+AT118-(AN118*AQ118*AR118/115.2/(AQ118+AR118)*(2*AM118/(1+AM118^0.5))+0.668)*((AQ118+AR118)*AI118/2)^1.5</f>
        <v>977.2137439239577</v>
      </c>
      <c r="AM118" s="16">
        <f>AQ118*AR118*AN118/(AQ118+AR118)/(AQ118*AP118+AR118*AO118)</f>
        <v>0.4667620894869251</v>
      </c>
      <c r="AN118" s="16">
        <f>AO118+AP118</f>
        <v>103.75241787320154</v>
      </c>
      <c r="AO118" s="16">
        <f>AS118/(S118+T118+U118+V118)</f>
        <v>58.96067556805258</v>
      </c>
      <c r="AP118" s="16">
        <f>AT118/(Y118+Z118+AB118+AC116:AC118+AD118)</f>
        <v>44.79174230514896</v>
      </c>
      <c r="AQ118" s="16">
        <f>(S118+T118+U118*4+V118*4)/(S118+T118+U118*2+V118*2)</f>
        <v>1.9955973080664136</v>
      </c>
      <c r="AR118" s="16">
        <f>(Y118+Z118+AB118*4+AC118+AD118*4)/(Y118+Z118+AB118*2+AC118+AD118*2)</f>
        <v>1.0068017829677376</v>
      </c>
      <c r="AS118" s="16">
        <f>S118*S$2+T118*T$2+U118*U$2+V118*V$2</f>
        <v>668.294282147205</v>
      </c>
      <c r="AT118" s="16">
        <f>Y118*Y$2+Z118*Z$2+AB118*AB$2+AC118*AC$2+AD118*AD$2</f>
        <v>507.9723637152626</v>
      </c>
    </row>
    <row r="119" spans="1:46" ht="12.75">
      <c r="A119" s="10" t="s">
        <v>274</v>
      </c>
      <c r="C119" s="3">
        <v>7.7</v>
      </c>
      <c r="D119" s="1">
        <v>2</v>
      </c>
      <c r="E119" s="1">
        <v>0.5</v>
      </c>
      <c r="F119" s="1">
        <f>G119/20</f>
        <v>10.5</v>
      </c>
      <c r="G119" s="1">
        <f>G118+2</f>
        <v>210</v>
      </c>
      <c r="J119" s="1">
        <v>2.5</v>
      </c>
      <c r="K119" s="1">
        <v>0</v>
      </c>
      <c r="L119" s="1">
        <v>0</v>
      </c>
      <c r="M119" s="1">
        <v>0.5</v>
      </c>
      <c r="N119" s="1">
        <f>Q119*61*(1-10^-10.3/10^-C119)</f>
        <v>691.7061373778417</v>
      </c>
      <c r="O119" s="1">
        <f>Q119*60*10^-10.3/10^-C119</f>
        <v>1.713307497204046</v>
      </c>
      <c r="P119" s="1">
        <f>Q119*61</f>
        <v>693.4479999999992</v>
      </c>
      <c r="Q119" s="3">
        <f>Q118+0.193*$Q$19</f>
        <v>11.367999999999986</v>
      </c>
      <c r="R119" s="5">
        <f>(10^(-C119))*N119/10^-6.4+N119+O119</f>
        <v>728.0868734225865</v>
      </c>
      <c r="S119" s="4">
        <f>D119/23.1</f>
        <v>0.08658008658008658</v>
      </c>
      <c r="T119" s="4">
        <f>E119/39.1</f>
        <v>0.01278772378516624</v>
      </c>
      <c r="U119" s="4">
        <f>F119/12.15</f>
        <v>0.8641975308641975</v>
      </c>
      <c r="V119" s="4">
        <f>G119/20.04</f>
        <v>10.479041916167665</v>
      </c>
      <c r="W119" s="4">
        <f>H119/37.85</f>
        <v>0</v>
      </c>
      <c r="X119" s="4">
        <f>I119/19</f>
        <v>0</v>
      </c>
      <c r="Y119" s="4">
        <f>J119/35.5</f>
        <v>0.07042253521126761</v>
      </c>
      <c r="Z119" s="4">
        <f>K119/62</f>
        <v>0</v>
      </c>
      <c r="AA119" s="4">
        <f t="shared" si="104"/>
        <v>0</v>
      </c>
      <c r="AB119" s="4">
        <f t="shared" si="104"/>
        <v>0.010416666666666666</v>
      </c>
      <c r="AC119" s="4">
        <f>N119/61</f>
        <v>11.339444875046587</v>
      </c>
      <c r="AD119" s="4">
        <f>O119/60</f>
        <v>0.02855512495340077</v>
      </c>
      <c r="AE119" s="1">
        <f>SUM(S119:W119)</f>
        <v>11.442607257397116</v>
      </c>
      <c r="AF119" s="1">
        <f>SUM(X119:AD119)</f>
        <v>11.448839201877922</v>
      </c>
      <c r="AG119" s="1">
        <f>AE119-AF119</f>
        <v>-0.006231944480806106</v>
      </c>
      <c r="AH119" s="5">
        <f>(AE119-AF119)/(AE119+AF119)*100</f>
        <v>-0.02722389994836294</v>
      </c>
      <c r="AI119" s="1">
        <f>AE119+AF119</f>
        <v>22.891446459275038</v>
      </c>
      <c r="AJ119" s="7">
        <f>G119*2.6+F119*3.82+E119*1.84+D119*2.13+N119*0.72+O119*2.82+J119*2.14+K119*1.15+M119*1.54</f>
        <v>1100.2699460541614</v>
      </c>
      <c r="AK119" s="7">
        <f>V119+U119</f>
        <v>11.343239447031863</v>
      </c>
      <c r="AL119" s="2">
        <f>AS119+AT119-(AN119*AQ119*AR119/115.2/(AQ119+AR119)*(2*AM119/(1+AM119^0.5))+0.668)*((AQ119+AR119)*AI119/2)^1.5</f>
        <v>985.551653108759</v>
      </c>
      <c r="AM119" s="16">
        <f>AQ119*AR119*AN119/(AQ119+AR119)/(AQ119*AP119+AR119*AO119)</f>
        <v>0.46676189030535814</v>
      </c>
      <c r="AN119" s="16">
        <f>AO119+AP119</f>
        <v>103.75074024778445</v>
      </c>
      <c r="AO119" s="16">
        <f>AS119/(S119+T119+U119+V119)</f>
        <v>58.961163986520155</v>
      </c>
      <c r="AP119" s="16">
        <f>AT119/(Y119+Z119+AB119+AC117:AC119+AD119)</f>
        <v>44.7895762612643</v>
      </c>
      <c r="AQ119" s="16">
        <f>(S119+T119+U119*4+V119*4)/(S119+T119+U119*2+V119*2)</f>
        <v>1.9956390556096413</v>
      </c>
      <c r="AR119" s="16">
        <f>(Y119+Z119+AB119*4+AC119+AD119*4)/(Y119+Z119+AB119*2+AC119+AD119*2)</f>
        <v>1.0067848942922417</v>
      </c>
      <c r="AS119" s="16">
        <f>S119*S$2+T119*T$2+U119*U$2+V119*V$2</f>
        <v>674.669442936737</v>
      </c>
      <c r="AT119" s="16">
        <f>Y119*Y$2+Z119*Z$2+AB119*AB$2+AC119*AC$2+AD119*AD$2</f>
        <v>512.7886565354635</v>
      </c>
    </row>
    <row r="120" spans="1:46" ht="12.75">
      <c r="A120" s="10" t="s">
        <v>275</v>
      </c>
      <c r="C120" s="3">
        <v>7.7</v>
      </c>
      <c r="D120" s="1">
        <v>2</v>
      </c>
      <c r="E120" s="1">
        <v>0.5</v>
      </c>
      <c r="F120" s="1">
        <f>G120/20</f>
        <v>10.6</v>
      </c>
      <c r="G120" s="1">
        <f>G119+2</f>
        <v>212</v>
      </c>
      <c r="J120" s="1">
        <v>2.5</v>
      </c>
      <c r="K120" s="1">
        <v>0</v>
      </c>
      <c r="L120" s="1">
        <v>0</v>
      </c>
      <c r="M120" s="1">
        <v>0.5</v>
      </c>
      <c r="N120" s="1">
        <f>Q120*61*(1-10^-10.3/10^-C120)</f>
        <v>698.2824568120251</v>
      </c>
      <c r="O120" s="1">
        <f>Q120*60*10^-10.3/10^-C120</f>
        <v>1.729596578335099</v>
      </c>
      <c r="P120" s="1">
        <f>Q120*61</f>
        <v>700.0408799999991</v>
      </c>
      <c r="Q120" s="3">
        <f>Q119+0.193*$Q$19</f>
        <v>11.476079999999985</v>
      </c>
      <c r="R120" s="5">
        <f>(10^(-C120))*N120/10^-6.4+N120+O120</f>
        <v>735.0090786723677</v>
      </c>
      <c r="S120" s="4">
        <f>D120/23.1</f>
        <v>0.08658008658008658</v>
      </c>
      <c r="T120" s="4">
        <f>E120/39.1</f>
        <v>0.01278772378516624</v>
      </c>
      <c r="U120" s="4">
        <f>F120/12.15</f>
        <v>0.8724279835390946</v>
      </c>
      <c r="V120" s="4">
        <f>G120/20.04</f>
        <v>10.578842315369261</v>
      </c>
      <c r="W120" s="4">
        <f>H120/37.85</f>
        <v>0</v>
      </c>
      <c r="X120" s="4">
        <f>I120/19</f>
        <v>0</v>
      </c>
      <c r="Y120" s="4">
        <f>J120/35.5</f>
        <v>0.07042253521126761</v>
      </c>
      <c r="Z120" s="4">
        <f>K120/62</f>
        <v>0</v>
      </c>
      <c r="AA120" s="4">
        <f t="shared" si="104"/>
        <v>0</v>
      </c>
      <c r="AB120" s="4">
        <f t="shared" si="104"/>
        <v>0.010416666666666666</v>
      </c>
      <c r="AC120" s="4">
        <f>N120/61</f>
        <v>11.447253390361068</v>
      </c>
      <c r="AD120" s="4">
        <f>O120/60</f>
        <v>0.028826609638918317</v>
      </c>
      <c r="AE120" s="1">
        <f>SUM(S120:W120)</f>
        <v>11.550638109273608</v>
      </c>
      <c r="AF120" s="1">
        <f>SUM(X120:AD120)</f>
        <v>11.55691920187792</v>
      </c>
      <c r="AG120" s="1">
        <f>AE120-AF120</f>
        <v>-0.006281092604311311</v>
      </c>
      <c r="AH120" s="5">
        <f>(AE120-AF120)/(AE120+AF120)*100</f>
        <v>-0.027181984316793643</v>
      </c>
      <c r="AI120" s="1">
        <f>AE120+AF120</f>
        <v>23.107557311151528</v>
      </c>
      <c r="AJ120" s="7">
        <f>G120*2.6+F120*3.82+E120*1.84+D120*2.13+N120*0.72+O120*2.82+J120*2.14+K120*1.15+M120*1.54</f>
        <v>1110.632831255563</v>
      </c>
      <c r="AK120" s="7">
        <f>V120+U120</f>
        <v>11.451270298908355</v>
      </c>
      <c r="AL120" s="2">
        <f>AS120+AT120-(AN120*AQ120*AR120/115.2/(AQ120+AR120)*(2*AM120/(1+AM120^0.5))+0.668)*((AQ120+AR120)*AI120/2)^1.5</f>
        <v>993.8760557874222</v>
      </c>
      <c r="AM120" s="16">
        <f>AQ120*AR120*AN120/(AQ120+AR120)/(AQ120*AP120+AR120*AO120)</f>
        <v>0.4667616953954179</v>
      </c>
      <c r="AN120" s="16">
        <f>AO120+AP120</f>
        <v>103.74909399977241</v>
      </c>
      <c r="AO120" s="16">
        <f>AS120/(S120+T120+U120+V120)</f>
        <v>58.96164326882356</v>
      </c>
      <c r="AP120" s="16">
        <f>AT120/(Y120+Z120+AB120+AC118:AC120+AD120)</f>
        <v>44.78745073094886</v>
      </c>
      <c r="AQ120" s="16">
        <f>(S120+T120+U120*4+V120*4)/(S120+T120+U120*2+V120*2)</f>
        <v>1.9956800188661779</v>
      </c>
      <c r="AR120" s="16">
        <f>(Y120+Z120+AB120*4+AC120+AD120*4)/(Y120+Z120+AB120*2+AC120+AD120*2)</f>
        <v>1.0067683212234075</v>
      </c>
      <c r="AS120" s="16">
        <f>S120*S$2+T120*T$2+U120*U$2+V120*V$2</f>
        <v>681.0446037262691</v>
      </c>
      <c r="AT120" s="16">
        <f>Y120*Y$2+Z120*Z$2+AB120*AB$2+AC120*AC$2+AD120*AD$2</f>
        <v>517.6049493556642</v>
      </c>
    </row>
    <row r="121" spans="1:46" ht="12.75">
      <c r="A121" s="10" t="s">
        <v>276</v>
      </c>
      <c r="C121" s="3">
        <v>7.7</v>
      </c>
      <c r="D121" s="1">
        <v>2</v>
      </c>
      <c r="E121" s="1">
        <v>0.5</v>
      </c>
      <c r="F121" s="1">
        <f>G121/20</f>
        <v>10.7</v>
      </c>
      <c r="G121" s="1">
        <f>G120+2</f>
        <v>214</v>
      </c>
      <c r="J121" s="1">
        <v>2.5</v>
      </c>
      <c r="K121" s="1">
        <v>0</v>
      </c>
      <c r="L121" s="1">
        <v>0</v>
      </c>
      <c r="M121" s="1">
        <v>0.5</v>
      </c>
      <c r="N121" s="1">
        <f>Q121*61*(1-10^-10.3/10^-C121)</f>
        <v>704.8587762462084</v>
      </c>
      <c r="O121" s="1">
        <f>Q121*60*10^-10.3/10^-C121</f>
        <v>1.7458856594661525</v>
      </c>
      <c r="P121" s="1">
        <f>Q121*61</f>
        <v>706.633759999999</v>
      </c>
      <c r="Q121" s="3">
        <f>Q120+0.193*$Q$19</f>
        <v>11.584159999999985</v>
      </c>
      <c r="R121" s="5">
        <f>(10^(-C121))*N121/10^-6.4+N121+O121</f>
        <v>741.9312839221487</v>
      </c>
      <c r="S121" s="4">
        <f>D121/23.1</f>
        <v>0.08658008658008658</v>
      </c>
      <c r="T121" s="4">
        <f>E121/39.1</f>
        <v>0.01278772378516624</v>
      </c>
      <c r="U121" s="4">
        <f>F121/12.15</f>
        <v>0.8806584362139916</v>
      </c>
      <c r="V121" s="4">
        <f>G121/20.04</f>
        <v>10.67864271457086</v>
      </c>
      <c r="W121" s="4">
        <f>H121/37.85</f>
        <v>0</v>
      </c>
      <c r="X121" s="4">
        <f>I121/19</f>
        <v>0</v>
      </c>
      <c r="Y121" s="4">
        <f>J121/35.5</f>
        <v>0.07042253521126761</v>
      </c>
      <c r="Z121" s="4">
        <f>K121/62</f>
        <v>0</v>
      </c>
      <c r="AA121" s="4">
        <f t="shared" si="104"/>
        <v>0</v>
      </c>
      <c r="AB121" s="4">
        <f t="shared" si="104"/>
        <v>0.010416666666666666</v>
      </c>
      <c r="AC121" s="4">
        <f>N121/61</f>
        <v>11.555061905675547</v>
      </c>
      <c r="AD121" s="4">
        <f>O121/60</f>
        <v>0.029098094324435875</v>
      </c>
      <c r="AE121" s="1">
        <f>SUM(S121:W121)</f>
        <v>11.658668961150104</v>
      </c>
      <c r="AF121" s="1">
        <f>SUM(X121:AD121)</f>
        <v>11.664999201877917</v>
      </c>
      <c r="AG121" s="1">
        <f>AE121-AF121</f>
        <v>-0.0063302407278129635</v>
      </c>
      <c r="AH121" s="5">
        <f>(AE121-AF121)/(AE121+AF121)*100</f>
        <v>-0.027140845443202933</v>
      </c>
      <c r="AI121" s="1">
        <f>AE121+AF121</f>
        <v>23.32366816302802</v>
      </c>
      <c r="AJ121" s="7">
        <f>G121*2.6+F121*3.82+E121*1.84+D121*2.13+N121*0.72+O121*2.82+J121*2.14+K121*1.15+M121*1.54</f>
        <v>1120.9957164569646</v>
      </c>
      <c r="AK121" s="7">
        <f>V121+U121</f>
        <v>11.55930115078485</v>
      </c>
      <c r="AL121" s="2">
        <f>AS121+AT121-(AN121*AQ121*AR121/115.2/(AQ121+AR121)*(2*AM121/(1+AM121^0.5))+0.668)*((AQ121+AR121)*AI121/2)^1.5</f>
        <v>1002.1870152890931</v>
      </c>
      <c r="AM121" s="16">
        <f>AQ121*AR121*AN121/(AQ121+AR121)/(AQ121*AP121+AR121*AO121)</f>
        <v>0.46676150462333665</v>
      </c>
      <c r="AN121" s="16">
        <f>AO121+AP121</f>
        <v>103.74747825702227</v>
      </c>
      <c r="AO121" s="16">
        <f>AS121/(S121+T121+U121+V121)</f>
        <v>58.96211366893366</v>
      </c>
      <c r="AP121" s="16">
        <f>AT121/(Y121+Z121+AB121+AC119:AC121+AD121)</f>
        <v>44.7853645880886</v>
      </c>
      <c r="AQ121" s="16">
        <f>(S121+T121+U121*4+V121*4)/(S121+T121+U121*2+V121*2)</f>
        <v>1.9957202197312602</v>
      </c>
      <c r="AR121" s="16">
        <f>(Y121+Z121+AB121*4+AC121+AD121*4)/(Y121+Z121+AB121*2+AC121+AD121*2)</f>
        <v>1.0067520549962958</v>
      </c>
      <c r="AS121" s="16">
        <f>S121*S$2+T121*T$2+U121*U$2+V121*V$2</f>
        <v>687.4197645158011</v>
      </c>
      <c r="AT121" s="16">
        <f>Y121*Y$2+Z121*Z$2+AB121*AB$2+AC121*AC$2+AD121*AD$2</f>
        <v>522.421242175865</v>
      </c>
    </row>
    <row r="123" spans="1:46" s="39" customFormat="1" ht="12.75">
      <c r="A123" s="38" t="s">
        <v>228</v>
      </c>
      <c r="R123" s="40"/>
      <c r="AL123" s="41"/>
      <c r="AM123" s="42"/>
      <c r="AN123" s="42"/>
      <c r="AO123" s="42"/>
      <c r="AP123" s="42"/>
      <c r="AQ123" s="42"/>
      <c r="AR123" s="42"/>
      <c r="AS123" s="42"/>
      <c r="AT123" s="42"/>
    </row>
    <row r="124" spans="1:46" s="39" customFormat="1" ht="12.75">
      <c r="A124" s="43" t="s">
        <v>226</v>
      </c>
      <c r="B124" s="43"/>
      <c r="C124" s="44">
        <v>6.5</v>
      </c>
      <c r="D124" s="45">
        <v>23</v>
      </c>
      <c r="E124" s="45">
        <v>0</v>
      </c>
      <c r="F124" s="45">
        <v>0</v>
      </c>
      <c r="G124" s="46">
        <v>12</v>
      </c>
      <c r="H124" s="46"/>
      <c r="I124" s="46"/>
      <c r="J124" s="45">
        <v>35.5</v>
      </c>
      <c r="K124" s="46"/>
      <c r="L124" s="46"/>
      <c r="M124" s="45">
        <f>9.6*2.5</f>
        <v>24</v>
      </c>
      <c r="N124" s="45">
        <f>Q124*61*(1-10^-10.3/10^-C124)</f>
        <v>1.2198066430305197</v>
      </c>
      <c r="O124" s="45">
        <f>Q124*60*10^-10.3/10^-C124</f>
        <v>0.00019018718309533308</v>
      </c>
      <c r="P124" s="45">
        <f>Q124*61</f>
        <v>1.22</v>
      </c>
      <c r="Q124" s="47">
        <v>0.02</v>
      </c>
      <c r="R124" s="40">
        <f>(10^(-C124))*N124/10^-6.4+N124+O124</f>
        <v>2.188923687677</v>
      </c>
      <c r="S124" s="48">
        <f>D124/23.1</f>
        <v>0.9956709956709956</v>
      </c>
      <c r="T124" s="48">
        <f>E124/39.1</f>
        <v>0</v>
      </c>
      <c r="U124" s="48">
        <f>F124/12.15</f>
        <v>0</v>
      </c>
      <c r="V124" s="48">
        <f>G124/20.04</f>
        <v>0.5988023952095809</v>
      </c>
      <c r="W124" s="48">
        <f>H124/37.85</f>
        <v>0</v>
      </c>
      <c r="X124" s="48">
        <f>I124/19</f>
        <v>0</v>
      </c>
      <c r="Y124" s="48">
        <f>J124/35.5</f>
        <v>1</v>
      </c>
      <c r="Z124" s="48">
        <f>K124/62</f>
        <v>0</v>
      </c>
      <c r="AA124" s="48">
        <f aca="true" t="shared" si="105" ref="AA124:AB126">L124/48</f>
        <v>0</v>
      </c>
      <c r="AB124" s="48">
        <f t="shared" si="105"/>
        <v>0.5</v>
      </c>
      <c r="AC124" s="48">
        <f>N124/61</f>
        <v>0.019996830213615077</v>
      </c>
      <c r="AD124" s="48">
        <f>O124/60</f>
        <v>3.169786384922218E-06</v>
      </c>
      <c r="AE124" s="45">
        <f>SUM(S124:W124)</f>
        <v>1.5944733908805766</v>
      </c>
      <c r="AF124" s="45">
        <f>SUM(X124:AD124)</f>
        <v>1.52</v>
      </c>
      <c r="AG124" s="45">
        <v>-0.0012188358831997093</v>
      </c>
      <c r="AH124" s="40">
        <v>-0.14370699462316475</v>
      </c>
      <c r="AI124" s="45">
        <v>0.848139567872669</v>
      </c>
      <c r="AJ124" s="49">
        <f>G124*2.6+F124*3.82+E124*1.84+D124*2.13+N124*0.72+O124*2.82+J124*2.14+K124*1.15+M124*1.54</f>
        <v>193.9987971108383</v>
      </c>
      <c r="AK124" s="49"/>
      <c r="AL124" s="50">
        <f>AS124+AT124-(AN124*AQ124*AR124/115.2/(AQ124+AR124)*(2*AM124/(1+AM124^0.5))+0.668)*((AQ124+AR124)*AI124/2)^1.5</f>
        <v>200.8859697441075</v>
      </c>
      <c r="AM124" s="42">
        <f>AQ124*AR124*AN124/(AQ124+AR124)/(AQ124*AP124+AR124*AO124)</f>
        <v>0.49836304375467083</v>
      </c>
      <c r="AN124" s="42">
        <f>AO124+AP124</f>
        <v>130.66310415234472</v>
      </c>
      <c r="AO124" s="42">
        <f>AS124/(S124+T124+U124+V124)</f>
        <v>53.630157697935296</v>
      </c>
      <c r="AP124" s="42">
        <f>AT124/(Y124+Z124+AB124+AC74:AC124+AD124)</f>
        <v>77.03294645440943</v>
      </c>
      <c r="AQ124" s="42">
        <f>(S124+T124+U124*4+V124*4)/(S124+T124+U124*2+V124*2)</f>
        <v>1.5460347476657605</v>
      </c>
      <c r="AR124" s="42">
        <f>(Y124+Z124+AB124*4+AC124+AD124*4)/(Y124+Z124+AB124*2+AC124+AD124*2)</f>
        <v>1.495051866516883</v>
      </c>
      <c r="AS124" s="42">
        <f>S124*S$2+T124*T$2+U124*U$2+V124*V$2</f>
        <v>85.51185939808695</v>
      </c>
      <c r="AT124" s="42">
        <f>Y124*Y$2+Z124*Z$2+AB124*AB$2+AC124*AC$2+AD124*AD$2</f>
        <v>117.09007861070234</v>
      </c>
    </row>
    <row r="125" spans="1:46" s="39" customFormat="1" ht="12.75">
      <c r="A125" s="44" t="s">
        <v>146</v>
      </c>
      <c r="B125" s="44"/>
      <c r="C125" s="44">
        <v>6.5</v>
      </c>
      <c r="D125" s="45">
        <v>23</v>
      </c>
      <c r="E125" s="45">
        <v>0.5</v>
      </c>
      <c r="F125" s="45">
        <v>0.3</v>
      </c>
      <c r="G125" s="46">
        <f>G124+6</f>
        <v>18</v>
      </c>
      <c r="H125" s="46"/>
      <c r="I125" s="46"/>
      <c r="J125" s="45">
        <v>35.5</v>
      </c>
      <c r="K125" s="46"/>
      <c r="L125" s="46"/>
      <c r="M125" s="45">
        <f aca="true" t="shared" si="106" ref="M125:M188">9.6*2.5</f>
        <v>24</v>
      </c>
      <c r="N125" s="45">
        <f>Q125*61*(1-10^-10.3/10^-C125)</f>
        <v>20.9709158069807</v>
      </c>
      <c r="O125" s="45">
        <f>Q125*60*10^-10.3/10^-C125</f>
        <v>0.0032696980517749664</v>
      </c>
      <c r="P125" s="45">
        <f>Q125*61</f>
        <v>20.97424</v>
      </c>
      <c r="Q125" s="47">
        <v>0.34384000000000003</v>
      </c>
      <c r="R125" s="40">
        <f>(10^(-C125))*N125/10^-6.4+N125+O125</f>
        <v>37.631976038542994</v>
      </c>
      <c r="S125" s="48">
        <f>D125/23.1</f>
        <v>0.9956709956709956</v>
      </c>
      <c r="T125" s="48">
        <f>E125/39.1</f>
        <v>0.01278772378516624</v>
      </c>
      <c r="U125" s="48">
        <f>F125/12.15</f>
        <v>0.024691358024691357</v>
      </c>
      <c r="V125" s="48">
        <f>G125/20.04</f>
        <v>0.8982035928143713</v>
      </c>
      <c r="W125" s="48">
        <f>H125/37.85</f>
        <v>0</v>
      </c>
      <c r="X125" s="48">
        <f>I125/19</f>
        <v>0</v>
      </c>
      <c r="Y125" s="48">
        <f>J125/35.5</f>
        <v>1</v>
      </c>
      <c r="Z125" s="48">
        <f>K125/62</f>
        <v>0</v>
      </c>
      <c r="AA125" s="48">
        <f t="shared" si="105"/>
        <v>0</v>
      </c>
      <c r="AB125" s="48">
        <f t="shared" si="105"/>
        <v>0.5</v>
      </c>
      <c r="AC125" s="48">
        <f>N125/61</f>
        <v>0.34378550503247046</v>
      </c>
      <c r="AD125" s="48">
        <f>O125/60</f>
        <v>5.4494967529582775E-05</v>
      </c>
      <c r="AE125" s="45">
        <f>SUM(S125:W125)</f>
        <v>1.9313536702952248</v>
      </c>
      <c r="AF125" s="45">
        <f>SUM(X125:AD125)</f>
        <v>1.8438400000000001</v>
      </c>
      <c r="AG125" s="45">
        <v>-0.0012188358831997093</v>
      </c>
      <c r="AH125" s="40">
        <v>-0.14370699462316475</v>
      </c>
      <c r="AI125" s="45">
        <v>0.848139567872669</v>
      </c>
      <c r="AJ125" s="49">
        <f>G125*2.6+F125*3.82+E125*1.84+D125*2.13+N125*0.72+O125*2.82+J125*2.14+K125*1.15+M125*1.54</f>
        <v>225.89427992953213</v>
      </c>
      <c r="AK125" s="49"/>
      <c r="AL125" s="50">
        <f>AS125+AT125-(AN125*AQ125*AR125/115.2/(AQ125+AR125)*(2*AM125/(1+AM125^0.5))+0.668)*((AQ125+AR125)*AI125/2)^1.5</f>
        <v>235.36528108109368</v>
      </c>
      <c r="AM125" s="42">
        <f>AQ125*AR125*AN125/(AQ125+AR125)/(AQ125*AP125+AR125*AO125)</f>
        <v>0.49277503476294177</v>
      </c>
      <c r="AN125" s="42">
        <f>AO125+AP125</f>
        <v>125.98465464469919</v>
      </c>
      <c r="AO125" s="42">
        <f>AS125/(S125+T125+U125+V125)</f>
        <v>54.66489182623625</v>
      </c>
      <c r="AP125" s="42">
        <f>AT125/(Y125+Z125+AB125+AC122:AC125+AD125)</f>
        <v>71.31976281846293</v>
      </c>
      <c r="AQ125" s="42">
        <f>(S125+T125+U125*4+V125*4)/(S125+T125+U125*2+V125*2)</f>
        <v>1.6466815427398203</v>
      </c>
      <c r="AR125" s="42">
        <f>(Y125+Z125+AB125*4+AC125+AD125*4)/(Y125+Z125+AB125*2+AC125+AD125*2)</f>
        <v>1.426686863287724</v>
      </c>
      <c r="AS125" s="42">
        <f>S125*S$2+T125*T$2+U125*U$2+V125*V$2</f>
        <v>105.57723946489281</v>
      </c>
      <c r="AT125" s="42">
        <f>Y125*Y$2+Z125*Z$2+AB125*AB$2+AC125*AC$2+AD125*AD$2</f>
        <v>131.50223147519472</v>
      </c>
    </row>
    <row r="126" spans="1:46" s="39" customFormat="1" ht="12.75">
      <c r="A126" s="51" t="s">
        <v>50</v>
      </c>
      <c r="B126" s="47"/>
      <c r="C126" s="47">
        <v>7.1</v>
      </c>
      <c r="D126" s="45">
        <v>23</v>
      </c>
      <c r="E126" s="45">
        <v>0.5</v>
      </c>
      <c r="F126" s="45">
        <f>(G126-12)/20</f>
        <v>0.5</v>
      </c>
      <c r="G126" s="45">
        <f>G125+4</f>
        <v>22</v>
      </c>
      <c r="I126" s="45"/>
      <c r="J126" s="45">
        <v>35.5</v>
      </c>
      <c r="K126" s="45">
        <v>0</v>
      </c>
      <c r="L126" s="45">
        <v>0</v>
      </c>
      <c r="M126" s="45">
        <f t="shared" si="106"/>
        <v>24</v>
      </c>
      <c r="N126" s="45">
        <f>Q126*61*(1-10^-10.3/10^-C126)</f>
        <v>39.62498254129136</v>
      </c>
      <c r="O126" s="45">
        <f>Q126*60*10^-10.3/10^-C126</f>
        <v>0.02460733643472741</v>
      </c>
      <c r="P126" s="45">
        <f>Q126*61</f>
        <v>39.65</v>
      </c>
      <c r="Q126" s="47">
        <v>0.65</v>
      </c>
      <c r="R126" s="40">
        <f>(10^(-C126))*N126/10^-6.4+N126+O126</f>
        <v>47.55581331731995</v>
      </c>
      <c r="S126" s="48">
        <f>D126/23.1</f>
        <v>0.9956709956709956</v>
      </c>
      <c r="T126" s="48">
        <f>E126/39.1</f>
        <v>0.01278772378516624</v>
      </c>
      <c r="U126" s="48">
        <f>F126/12.15</f>
        <v>0.0411522633744856</v>
      </c>
      <c r="V126" s="48">
        <f>G126/20.04</f>
        <v>1.097804391217565</v>
      </c>
      <c r="W126" s="48">
        <f>H126/37.85</f>
        <v>0</v>
      </c>
      <c r="X126" s="48">
        <f>I126/19</f>
        <v>0</v>
      </c>
      <c r="Y126" s="48">
        <f>J126/35.5</f>
        <v>1</v>
      </c>
      <c r="Z126" s="48">
        <f>K126/62</f>
        <v>0</v>
      </c>
      <c r="AA126" s="48">
        <f t="shared" si="105"/>
        <v>0</v>
      </c>
      <c r="AB126" s="48">
        <f t="shared" si="105"/>
        <v>0.5</v>
      </c>
      <c r="AC126" s="48">
        <f>N126/61</f>
        <v>0.6495898777260879</v>
      </c>
      <c r="AD126" s="48">
        <f>O126/60</f>
        <v>0.0004101222739121235</v>
      </c>
      <c r="AE126" s="45">
        <f>SUM(S126:W126)</f>
        <v>2.1474153740482125</v>
      </c>
      <c r="AF126" s="45">
        <f>SUM(X126:AD126)</f>
        <v>2.15</v>
      </c>
      <c r="AG126" s="45">
        <f>AE126-AF126</f>
        <v>-0.0025846259517874337</v>
      </c>
      <c r="AH126" s="40">
        <f>(AE126-AF126)/(AE126+AF126)*100</f>
        <v>-0.06014373121564667</v>
      </c>
      <c r="AI126" s="45">
        <f>AE126+AF126</f>
        <v>4.297415374048212</v>
      </c>
      <c r="AJ126" s="49">
        <f>G126*2.6+F126*3.82+E126*1.84+D126*2.13+N126*0.72+O126*2.82+J126*2.14+K126*1.15+M126*1.54</f>
        <v>250.5493801184757</v>
      </c>
      <c r="AK126" s="49"/>
      <c r="AL126" s="50">
        <f>AS126+AT126-(AN126*AQ126*AR126/115.2/(AQ126+AR126)*(2*AM126/(1+AM126^0.5))+0.668)*((AQ126+AR126)*AI126/2)^1.5</f>
        <v>244.247275154428</v>
      </c>
      <c r="AM126" s="42">
        <f>AQ126*AR126*AN126/(AQ126+AR126)/(AQ126*AP126+AR126*AO126)</f>
        <v>0.4896316003775935</v>
      </c>
      <c r="AN126" s="42">
        <f>AO126+AP126</f>
        <v>122.60704695484318</v>
      </c>
      <c r="AO126" s="42">
        <f>AS126/(S126+T126+U126+V126)</f>
        <v>55.102316242102255</v>
      </c>
      <c r="AP126" s="42">
        <f>AT126/(Y126+Z126+AB126+AC123:AC126+AD126)</f>
        <v>67.50473071274094</v>
      </c>
      <c r="AQ126" s="42">
        <f>(S126+T126+U126*4+V126*4)/(S126+T126+U126*2+V126*2)</f>
        <v>1.6931392092351114</v>
      </c>
      <c r="AR126" s="42">
        <f>(Y126+Z126+AB126*4+AC126+AD126*4)/(Y126+Z126+AB126*2+AC126+AD126*2)</f>
        <v>1.377609576773414</v>
      </c>
      <c r="AS126" s="42">
        <f>S126*S$2+T126*T$2+U126*U$2+V126*V$2</f>
        <v>118.3275610439569</v>
      </c>
      <c r="AT126" s="42">
        <f>Y126*Y$2+Z126*Z$2+AB126*AB$2+AC126*AC$2+AD126*AD$2</f>
        <v>145.135171032393</v>
      </c>
    </row>
    <row r="127" spans="1:46" s="39" customFormat="1" ht="12.75">
      <c r="A127" s="51" t="s">
        <v>51</v>
      </c>
      <c r="C127" s="47">
        <v>7.7</v>
      </c>
      <c r="D127" s="45">
        <v>23</v>
      </c>
      <c r="E127" s="45">
        <v>0.5</v>
      </c>
      <c r="F127" s="45">
        <f aca="true" t="shared" si="107" ref="F127:F181">(G127-12)/20</f>
        <v>0.6</v>
      </c>
      <c r="G127" s="45">
        <f aca="true" t="shared" si="108" ref="G127:G133">G126+2</f>
        <v>24</v>
      </c>
      <c r="J127" s="45">
        <v>35.5</v>
      </c>
      <c r="K127" s="45">
        <v>0</v>
      </c>
      <c r="L127" s="45">
        <v>0</v>
      </c>
      <c r="M127" s="45">
        <f t="shared" si="106"/>
        <v>24</v>
      </c>
      <c r="N127" s="45">
        <f>Q127*61*(1-10^-10.3/10^-C127)</f>
        <v>46.12672313717408</v>
      </c>
      <c r="O127" s="45">
        <f>Q127*60*10^-10.3/10^-C127</f>
        <v>0.11425265195992655</v>
      </c>
      <c r="P127" s="45">
        <f>Q127*61</f>
        <v>46.24288000000001</v>
      </c>
      <c r="Q127" s="47">
        <f aca="true" t="shared" si="109" ref="Q127:Q133">Q126+0.193*$Q$19</f>
        <v>0.7580800000000001</v>
      </c>
      <c r="R127" s="40">
        <f>(10^(-C127))*N127/10^-6.4+N127+O127</f>
        <v>48.552788265675154</v>
      </c>
      <c r="S127" s="48">
        <f aca="true" t="shared" si="110" ref="S127:S181">D127/23.1</f>
        <v>0.9956709956709956</v>
      </c>
      <c r="T127" s="48">
        <f aca="true" t="shared" si="111" ref="T127:T181">E127/39.1</f>
        <v>0.01278772378516624</v>
      </c>
      <c r="U127" s="48">
        <f aca="true" t="shared" si="112" ref="U127:U181">F127/12.15</f>
        <v>0.04938271604938271</v>
      </c>
      <c r="V127" s="48">
        <f aca="true" t="shared" si="113" ref="V127:V181">G127/20.04</f>
        <v>1.1976047904191618</v>
      </c>
      <c r="W127" s="48">
        <f aca="true" t="shared" si="114" ref="W127:W181">H127/37.85</f>
        <v>0</v>
      </c>
      <c r="X127" s="48">
        <f aca="true" t="shared" si="115" ref="X127:X181">I127/19</f>
        <v>0</v>
      </c>
      <c r="Y127" s="48">
        <f aca="true" t="shared" si="116" ref="Y127:Y181">J127/35.5</f>
        <v>1</v>
      </c>
      <c r="Z127" s="48">
        <f aca="true" t="shared" si="117" ref="Z127:Z181">K127/62</f>
        <v>0</v>
      </c>
      <c r="AA127" s="48">
        <f aca="true" t="shared" si="118" ref="AA127:AA181">L127/48</f>
        <v>0</v>
      </c>
      <c r="AB127" s="48">
        <f aca="true" t="shared" si="119" ref="AB127:AB181">M127/48</f>
        <v>0.5</v>
      </c>
      <c r="AC127" s="48">
        <f aca="true" t="shared" si="120" ref="AC127:AC181">N127/61</f>
        <v>0.7561757891340013</v>
      </c>
      <c r="AD127" s="48">
        <f aca="true" t="shared" si="121" ref="AD127:AD181">O127/60</f>
        <v>0.0019042108659987759</v>
      </c>
      <c r="AE127" s="45">
        <f aca="true" t="shared" si="122" ref="AE127:AE181">SUM(S127:W127)</f>
        <v>2.2554462259247066</v>
      </c>
      <c r="AF127" s="45">
        <f aca="true" t="shared" si="123" ref="AF127:AF181">SUM(X127:AD127)</f>
        <v>2.25808</v>
      </c>
      <c r="AG127" s="45">
        <f aca="true" t="shared" si="124" ref="AG127:AG181">AE127-AF127</f>
        <v>-0.002633774075293527</v>
      </c>
      <c r="AH127" s="40">
        <f aca="true" t="shared" si="125" ref="AH127:AH181">(AE127-AF127)/(AE127+AF127)*100</f>
        <v>-0.058352913962606556</v>
      </c>
      <c r="AI127" s="45">
        <f aca="true" t="shared" si="126" ref="AI127:AI181">AE127+AF127</f>
        <v>4.513526225924707</v>
      </c>
      <c r="AJ127" s="49">
        <f aca="true" t="shared" si="127" ref="AJ127:AJ181">G127*2.6+F127*3.82+E127*1.84+D127*2.13+N127*0.72+O127*2.82+J127*2.14+K127*1.15+M127*1.54</f>
        <v>261.06543313729236</v>
      </c>
      <c r="AK127" s="49"/>
      <c r="AL127" s="50">
        <f aca="true" t="shared" si="128" ref="AL127:AL181">AS127+AT127-(AN127*AQ127*AR127/115.2/(AQ127+AR127)*(2*AM127/(1+AM127^0.5))+0.668)*((AQ127+AR127)*AI127/2)^1.5</f>
        <v>254.0338571072901</v>
      </c>
      <c r="AM127" s="42">
        <f aca="true" t="shared" si="129" ref="AM127:AM181">AQ127*AR127*AN127/(AQ127+AR127)/(AQ127*AP127+AR127*AO127)</f>
        <v>0.4885257309856524</v>
      </c>
      <c r="AN127" s="42">
        <f aca="true" t="shared" si="130" ref="AN127:AN181">AO127+AP127</f>
        <v>121.7096500481052</v>
      </c>
      <c r="AO127" s="42">
        <f aca="true" t="shared" si="131" ref="AO127:AO181">AS127/(S127+T127+U127+V127)</f>
        <v>55.28960096681635</v>
      </c>
      <c r="AP127" s="42">
        <f aca="true" t="shared" si="132" ref="AP127:AP134">AT127/(Y127+Z127+AB127+AC125:AC127+AD127)</f>
        <v>66.42004908128885</v>
      </c>
      <c r="AQ127" s="42">
        <f aca="true" t="shared" si="133" ref="AQ127:AQ181">(S127+T127+U127*4+V127*4)/(S127+T127+U127*2+V127*2)</f>
        <v>1.7120691506225671</v>
      </c>
      <c r="AR127" s="42">
        <f aca="true" t="shared" si="134" ref="AR127:AR181">(Y127+Z127+AB127*4+AC127+AD127*4)/(Y127+Z127+AB127*2+AC127+AD127*2)</f>
        <v>1.3637007841494255</v>
      </c>
      <c r="AS127" s="42">
        <f aca="true" t="shared" si="135" ref="AS127:AS181">S127*S$2+T127*T$2+U127*U$2+V127*V$2</f>
        <v>124.70272183348895</v>
      </c>
      <c r="AT127" s="42">
        <f aca="true" t="shared" si="136" ref="AT127:AT181">Y127*Y$2+Z127*Z$2+AB127*AB$2+AC127*AC$2+AD127*AD$2</f>
        <v>149.98178442947673</v>
      </c>
    </row>
    <row r="128" spans="1:46" s="39" customFormat="1" ht="12.75">
      <c r="A128" s="51" t="s">
        <v>52</v>
      </c>
      <c r="C128" s="47">
        <v>7.7</v>
      </c>
      <c r="D128" s="45">
        <v>23</v>
      </c>
      <c r="E128" s="45">
        <v>0.5</v>
      </c>
      <c r="F128" s="45">
        <f t="shared" si="107"/>
        <v>0.7</v>
      </c>
      <c r="G128" s="45">
        <f t="shared" si="108"/>
        <v>26</v>
      </c>
      <c r="J128" s="45">
        <v>35.5</v>
      </c>
      <c r="K128" s="45">
        <v>0</v>
      </c>
      <c r="L128" s="45">
        <v>0</v>
      </c>
      <c r="M128" s="45">
        <f t="shared" si="106"/>
        <v>24</v>
      </c>
      <c r="N128" s="45">
        <f aca="true" t="shared" si="137" ref="N128:N181">Q128*61*(1-10^-10.3/10^-C128)</f>
        <v>52.70304257135751</v>
      </c>
      <c r="O128" s="45">
        <f aca="true" t="shared" si="138" ref="O128:O181">Q128*60*10^-10.3/10^-C128</f>
        <v>0.1305417330909798</v>
      </c>
      <c r="P128" s="45">
        <f aca="true" t="shared" si="139" ref="P128:P181">Q128*61</f>
        <v>52.83576</v>
      </c>
      <c r="Q128" s="47">
        <f t="shared" si="109"/>
        <v>0.86616</v>
      </c>
      <c r="R128" s="40">
        <f aca="true" t="shared" si="140" ref="R128:R181">(10^(-C128))*N128/10^-6.4+N128+O128</f>
        <v>55.47499351545639</v>
      </c>
      <c r="S128" s="48">
        <f t="shared" si="110"/>
        <v>0.9956709956709956</v>
      </c>
      <c r="T128" s="48">
        <f t="shared" si="111"/>
        <v>0.01278772378516624</v>
      </c>
      <c r="U128" s="48">
        <f t="shared" si="112"/>
        <v>0.05761316872427983</v>
      </c>
      <c r="V128" s="48">
        <f t="shared" si="113"/>
        <v>1.2974051896207586</v>
      </c>
      <c r="W128" s="48">
        <f t="shared" si="114"/>
        <v>0</v>
      </c>
      <c r="X128" s="48">
        <f t="shared" si="115"/>
        <v>0</v>
      </c>
      <c r="Y128" s="48">
        <f t="shared" si="116"/>
        <v>1</v>
      </c>
      <c r="Z128" s="48">
        <f t="shared" si="117"/>
        <v>0</v>
      </c>
      <c r="AA128" s="48">
        <f t="shared" si="118"/>
        <v>0</v>
      </c>
      <c r="AB128" s="48">
        <f t="shared" si="119"/>
        <v>0.5</v>
      </c>
      <c r="AC128" s="48">
        <f t="shared" si="120"/>
        <v>0.8639843044484837</v>
      </c>
      <c r="AD128" s="48">
        <f t="shared" si="121"/>
        <v>0.00217569555151633</v>
      </c>
      <c r="AE128" s="45">
        <f t="shared" si="122"/>
        <v>2.3634770778012</v>
      </c>
      <c r="AF128" s="45">
        <f t="shared" si="123"/>
        <v>2.36616</v>
      </c>
      <c r="AG128" s="45">
        <f t="shared" si="124"/>
        <v>-0.00268292219879962</v>
      </c>
      <c r="AH128" s="40">
        <f t="shared" si="125"/>
        <v>-0.05672575199040231</v>
      </c>
      <c r="AI128" s="45">
        <f t="shared" si="126"/>
        <v>4.7296370778012005</v>
      </c>
      <c r="AJ128" s="49">
        <f t="shared" si="127"/>
        <v>271.42831833869394</v>
      </c>
      <c r="AK128" s="49"/>
      <c r="AL128" s="50">
        <f t="shared" si="128"/>
        <v>263.7785173468632</v>
      </c>
      <c r="AM128" s="42">
        <f t="shared" si="129"/>
        <v>0.4874973311714658</v>
      </c>
      <c r="AN128" s="42">
        <f t="shared" si="130"/>
        <v>120.88140874098484</v>
      </c>
      <c r="AO128" s="42">
        <f t="shared" si="131"/>
        <v>55.45976470606007</v>
      </c>
      <c r="AP128" s="42">
        <f t="shared" si="132"/>
        <v>65.42164403492477</v>
      </c>
      <c r="AQ128" s="42">
        <f t="shared" si="133"/>
        <v>1.7287992585244896</v>
      </c>
      <c r="AR128" s="42">
        <f t="shared" si="134"/>
        <v>1.350151271575595</v>
      </c>
      <c r="AS128" s="42">
        <f t="shared" si="135"/>
        <v>131.077882623021</v>
      </c>
      <c r="AT128" s="42">
        <f t="shared" si="136"/>
        <v>154.7980772496776</v>
      </c>
    </row>
    <row r="129" spans="1:46" s="39" customFormat="1" ht="12.75">
      <c r="A129" s="51" t="s">
        <v>53</v>
      </c>
      <c r="C129" s="47">
        <v>7.7</v>
      </c>
      <c r="D129" s="45">
        <v>23</v>
      </c>
      <c r="E129" s="45">
        <v>0.5</v>
      </c>
      <c r="F129" s="45">
        <f t="shared" si="107"/>
        <v>0.8</v>
      </c>
      <c r="G129" s="45">
        <f t="shared" si="108"/>
        <v>28</v>
      </c>
      <c r="J129" s="45">
        <v>35.5</v>
      </c>
      <c r="K129" s="45">
        <v>0</v>
      </c>
      <c r="L129" s="45">
        <v>0</v>
      </c>
      <c r="M129" s="45">
        <f t="shared" si="106"/>
        <v>24</v>
      </c>
      <c r="N129" s="45">
        <f t="shared" si="137"/>
        <v>59.27936200554093</v>
      </c>
      <c r="O129" s="45">
        <f t="shared" si="138"/>
        <v>0.14683081422203306</v>
      </c>
      <c r="P129" s="45">
        <f t="shared" si="139"/>
        <v>59.42864</v>
      </c>
      <c r="Q129" s="47">
        <f t="shared" si="109"/>
        <v>0.97424</v>
      </c>
      <c r="R129" s="40">
        <f t="shared" si="140"/>
        <v>62.39719876523764</v>
      </c>
      <c r="S129" s="48">
        <f t="shared" si="110"/>
        <v>0.9956709956709956</v>
      </c>
      <c r="T129" s="48">
        <f t="shared" si="111"/>
        <v>0.01278772378516624</v>
      </c>
      <c r="U129" s="48">
        <f t="shared" si="112"/>
        <v>0.06584362139917696</v>
      </c>
      <c r="V129" s="48">
        <f t="shared" si="113"/>
        <v>1.3972055888223553</v>
      </c>
      <c r="W129" s="48">
        <f t="shared" si="114"/>
        <v>0</v>
      </c>
      <c r="X129" s="48">
        <f t="shared" si="115"/>
        <v>0</v>
      </c>
      <c r="Y129" s="48">
        <f t="shared" si="116"/>
        <v>1</v>
      </c>
      <c r="Z129" s="48">
        <f t="shared" si="117"/>
        <v>0</v>
      </c>
      <c r="AA129" s="48">
        <f t="shared" si="118"/>
        <v>0</v>
      </c>
      <c r="AB129" s="48">
        <f t="shared" si="119"/>
        <v>0.5</v>
      </c>
      <c r="AC129" s="48">
        <f t="shared" si="120"/>
        <v>0.971792819762966</v>
      </c>
      <c r="AD129" s="48">
        <f t="shared" si="121"/>
        <v>0.0024471802370338845</v>
      </c>
      <c r="AE129" s="45">
        <f t="shared" si="122"/>
        <v>2.471507929677694</v>
      </c>
      <c r="AF129" s="45">
        <f t="shared" si="123"/>
        <v>2.47424</v>
      </c>
      <c r="AG129" s="45">
        <f t="shared" si="124"/>
        <v>-0.002732070322306157</v>
      </c>
      <c r="AH129" s="40">
        <f t="shared" si="125"/>
        <v>-0.05524079191161288</v>
      </c>
      <c r="AI129" s="45">
        <f t="shared" si="126"/>
        <v>4.945747929677694</v>
      </c>
      <c r="AJ129" s="49">
        <f t="shared" si="127"/>
        <v>281.7912035400956</v>
      </c>
      <c r="AK129" s="49"/>
      <c r="AL129" s="50">
        <f t="shared" si="128"/>
        <v>273.5005381360371</v>
      </c>
      <c r="AM129" s="42">
        <f t="shared" si="129"/>
        <v>0.48656602263095483</v>
      </c>
      <c r="AN129" s="42">
        <f t="shared" si="130"/>
        <v>120.12551640786882</v>
      </c>
      <c r="AO129" s="42">
        <f t="shared" si="131"/>
        <v>55.61505256043346</v>
      </c>
      <c r="AP129" s="42">
        <f t="shared" si="132"/>
        <v>64.51046384743535</v>
      </c>
      <c r="AQ129" s="42">
        <f t="shared" si="133"/>
        <v>1.743691936957868</v>
      </c>
      <c r="AR129" s="42">
        <f t="shared" si="134"/>
        <v>1.3375881641664638</v>
      </c>
      <c r="AS129" s="42">
        <f t="shared" si="135"/>
        <v>137.45304341255303</v>
      </c>
      <c r="AT129" s="42">
        <f t="shared" si="136"/>
        <v>159.61437006987845</v>
      </c>
    </row>
    <row r="130" spans="1:46" s="39" customFormat="1" ht="12.75">
      <c r="A130" s="51" t="s">
        <v>54</v>
      </c>
      <c r="C130" s="47">
        <v>7.7</v>
      </c>
      <c r="D130" s="45">
        <v>23</v>
      </c>
      <c r="E130" s="45">
        <v>0.5</v>
      </c>
      <c r="F130" s="45">
        <f t="shared" si="107"/>
        <v>0.9</v>
      </c>
      <c r="G130" s="45">
        <f t="shared" si="108"/>
        <v>30</v>
      </c>
      <c r="J130" s="45">
        <v>35.5</v>
      </c>
      <c r="K130" s="45">
        <v>0</v>
      </c>
      <c r="L130" s="45">
        <v>0</v>
      </c>
      <c r="M130" s="45">
        <f t="shared" si="106"/>
        <v>24</v>
      </c>
      <c r="N130" s="45">
        <f t="shared" si="137"/>
        <v>65.85568143972436</v>
      </c>
      <c r="O130" s="45">
        <f t="shared" si="138"/>
        <v>0.16311989535308632</v>
      </c>
      <c r="P130" s="45">
        <f t="shared" si="139"/>
        <v>66.02152</v>
      </c>
      <c r="Q130" s="47">
        <f t="shared" si="109"/>
        <v>1.08232</v>
      </c>
      <c r="R130" s="40">
        <f t="shared" si="140"/>
        <v>69.31940401501889</v>
      </c>
      <c r="S130" s="48">
        <f t="shared" si="110"/>
        <v>0.9956709956709956</v>
      </c>
      <c r="T130" s="48">
        <f t="shared" si="111"/>
        <v>0.01278772378516624</v>
      </c>
      <c r="U130" s="48">
        <f t="shared" si="112"/>
        <v>0.07407407407407407</v>
      </c>
      <c r="V130" s="48">
        <f t="shared" si="113"/>
        <v>1.4970059880239521</v>
      </c>
      <c r="W130" s="48">
        <f t="shared" si="114"/>
        <v>0</v>
      </c>
      <c r="X130" s="48">
        <f t="shared" si="115"/>
        <v>0</v>
      </c>
      <c r="Y130" s="48">
        <f t="shared" si="116"/>
        <v>1</v>
      </c>
      <c r="Z130" s="48">
        <f t="shared" si="117"/>
        <v>0</v>
      </c>
      <c r="AA130" s="48">
        <f t="shared" si="118"/>
        <v>0</v>
      </c>
      <c r="AB130" s="48">
        <f t="shared" si="119"/>
        <v>0.5</v>
      </c>
      <c r="AC130" s="48">
        <f t="shared" si="120"/>
        <v>1.0796013350774485</v>
      </c>
      <c r="AD130" s="48">
        <f t="shared" si="121"/>
        <v>0.002718664922551439</v>
      </c>
      <c r="AE130" s="45">
        <f t="shared" si="122"/>
        <v>2.579538781554188</v>
      </c>
      <c r="AF130" s="45">
        <f t="shared" si="123"/>
        <v>2.58232</v>
      </c>
      <c r="AG130" s="45">
        <f t="shared" si="124"/>
        <v>-0.00278121844581225</v>
      </c>
      <c r="AH130" s="40">
        <f t="shared" si="125"/>
        <v>-0.05388017308320959</v>
      </c>
      <c r="AI130" s="45">
        <f t="shared" si="126"/>
        <v>5.161858781554188</v>
      </c>
      <c r="AJ130" s="49">
        <f t="shared" si="127"/>
        <v>292.1540887414973</v>
      </c>
      <c r="AK130" s="49"/>
      <c r="AL130" s="50">
        <f t="shared" si="128"/>
        <v>283.1997628148839</v>
      </c>
      <c r="AM130" s="42">
        <f t="shared" si="129"/>
        <v>0.4857187507298349</v>
      </c>
      <c r="AN130" s="42">
        <f t="shared" si="130"/>
        <v>119.43288996587296</v>
      </c>
      <c r="AO130" s="42">
        <f t="shared" si="131"/>
        <v>55.75733353209279</v>
      </c>
      <c r="AP130" s="42">
        <f t="shared" si="132"/>
        <v>63.67555643378018</v>
      </c>
      <c r="AQ130" s="42">
        <f t="shared" si="133"/>
        <v>1.7570341297422534</v>
      </c>
      <c r="AR130" s="42">
        <f t="shared" si="134"/>
        <v>1.3259075295480434</v>
      </c>
      <c r="AS130" s="42">
        <f t="shared" si="135"/>
        <v>143.8282042020851</v>
      </c>
      <c r="AT130" s="42">
        <f t="shared" si="136"/>
        <v>164.43066289007925</v>
      </c>
    </row>
    <row r="131" spans="1:46" s="39" customFormat="1" ht="12.75">
      <c r="A131" s="51" t="s">
        <v>55</v>
      </c>
      <c r="C131" s="47">
        <v>7.7</v>
      </c>
      <c r="D131" s="45">
        <v>23</v>
      </c>
      <c r="E131" s="45">
        <v>0.5</v>
      </c>
      <c r="F131" s="45">
        <f t="shared" si="107"/>
        <v>1</v>
      </c>
      <c r="G131" s="45">
        <f t="shared" si="108"/>
        <v>32</v>
      </c>
      <c r="J131" s="45">
        <v>35.5</v>
      </c>
      <c r="K131" s="45">
        <v>0</v>
      </c>
      <c r="L131" s="45">
        <v>0</v>
      </c>
      <c r="M131" s="45">
        <f t="shared" si="106"/>
        <v>24</v>
      </c>
      <c r="N131" s="45">
        <f t="shared" si="137"/>
        <v>72.43200087390778</v>
      </c>
      <c r="O131" s="45">
        <f t="shared" si="138"/>
        <v>0.1794089764841396</v>
      </c>
      <c r="P131" s="45">
        <f t="shared" si="139"/>
        <v>72.61439999999999</v>
      </c>
      <c r="Q131" s="47">
        <f t="shared" si="109"/>
        <v>1.1904</v>
      </c>
      <c r="R131" s="40">
        <f t="shared" si="140"/>
        <v>76.24160926480013</v>
      </c>
      <c r="S131" s="48">
        <f t="shared" si="110"/>
        <v>0.9956709956709956</v>
      </c>
      <c r="T131" s="48">
        <f t="shared" si="111"/>
        <v>0.01278772378516624</v>
      </c>
      <c r="U131" s="48">
        <f t="shared" si="112"/>
        <v>0.0823045267489712</v>
      </c>
      <c r="V131" s="48">
        <f t="shared" si="113"/>
        <v>1.596806387225549</v>
      </c>
      <c r="W131" s="48">
        <f t="shared" si="114"/>
        <v>0</v>
      </c>
      <c r="X131" s="48">
        <f t="shared" si="115"/>
        <v>0</v>
      </c>
      <c r="Y131" s="48">
        <f t="shared" si="116"/>
        <v>1</v>
      </c>
      <c r="Z131" s="48">
        <f t="shared" si="117"/>
        <v>0</v>
      </c>
      <c r="AA131" s="48">
        <f t="shared" si="118"/>
        <v>0</v>
      </c>
      <c r="AB131" s="48">
        <f t="shared" si="119"/>
        <v>0.5</v>
      </c>
      <c r="AC131" s="48">
        <f t="shared" si="120"/>
        <v>1.1874098503919308</v>
      </c>
      <c r="AD131" s="48">
        <f t="shared" si="121"/>
        <v>0.0029901496080689933</v>
      </c>
      <c r="AE131" s="45">
        <f t="shared" si="122"/>
        <v>2.687569633430682</v>
      </c>
      <c r="AF131" s="45">
        <f t="shared" si="123"/>
        <v>2.6904</v>
      </c>
      <c r="AG131" s="45">
        <f t="shared" si="124"/>
        <v>-0.002830366569317899</v>
      </c>
      <c r="AH131" s="40">
        <f t="shared" si="125"/>
        <v>-0.05262890574397626</v>
      </c>
      <c r="AI131" s="45">
        <f t="shared" si="126"/>
        <v>5.377969633430682</v>
      </c>
      <c r="AJ131" s="49">
        <f t="shared" si="127"/>
        <v>302.51697394289886</v>
      </c>
      <c r="AK131" s="49"/>
      <c r="AL131" s="50">
        <f t="shared" si="128"/>
        <v>292.87613276287294</v>
      </c>
      <c r="AM131" s="42">
        <f t="shared" si="129"/>
        <v>0.4849446148587696</v>
      </c>
      <c r="AN131" s="42">
        <f t="shared" si="130"/>
        <v>118.79590571186078</v>
      </c>
      <c r="AO131" s="42">
        <f t="shared" si="131"/>
        <v>55.88817611392736</v>
      </c>
      <c r="AP131" s="42">
        <f t="shared" si="132"/>
        <v>62.907729597933425</v>
      </c>
      <c r="AQ131" s="42">
        <f t="shared" si="133"/>
        <v>1.7690559892100615</v>
      </c>
      <c r="AR131" s="42">
        <f t="shared" si="134"/>
        <v>1.3150195410164975</v>
      </c>
      <c r="AS131" s="42">
        <f t="shared" si="135"/>
        <v>150.20336499161715</v>
      </c>
      <c r="AT131" s="42">
        <f t="shared" si="136"/>
        <v>169.24695571028008</v>
      </c>
    </row>
    <row r="132" spans="1:46" s="39" customFormat="1" ht="12.75">
      <c r="A132" s="51" t="s">
        <v>56</v>
      </c>
      <c r="C132" s="47">
        <v>7.7</v>
      </c>
      <c r="D132" s="45">
        <v>23</v>
      </c>
      <c r="E132" s="45">
        <v>0.5</v>
      </c>
      <c r="F132" s="45">
        <f t="shared" si="107"/>
        <v>1.1</v>
      </c>
      <c r="G132" s="45">
        <f t="shared" si="108"/>
        <v>34</v>
      </c>
      <c r="J132" s="45">
        <v>35.5</v>
      </c>
      <c r="K132" s="45">
        <v>0</v>
      </c>
      <c r="L132" s="45">
        <v>0</v>
      </c>
      <c r="M132" s="45">
        <f t="shared" si="106"/>
        <v>24</v>
      </c>
      <c r="N132" s="45">
        <f t="shared" si="137"/>
        <v>79.00832030809121</v>
      </c>
      <c r="O132" s="45">
        <f t="shared" si="138"/>
        <v>0.19569805761519285</v>
      </c>
      <c r="P132" s="45">
        <f t="shared" si="139"/>
        <v>79.20728</v>
      </c>
      <c r="Q132" s="47">
        <f t="shared" si="109"/>
        <v>1.2984799999999999</v>
      </c>
      <c r="R132" s="40">
        <f t="shared" si="140"/>
        <v>83.16381451458138</v>
      </c>
      <c r="S132" s="48">
        <f t="shared" si="110"/>
        <v>0.9956709956709956</v>
      </c>
      <c r="T132" s="48">
        <f t="shared" si="111"/>
        <v>0.01278772378516624</v>
      </c>
      <c r="U132" s="48">
        <f t="shared" si="112"/>
        <v>0.09053497942386832</v>
      </c>
      <c r="V132" s="48">
        <f t="shared" si="113"/>
        <v>1.6966067864271457</v>
      </c>
      <c r="W132" s="48">
        <f t="shared" si="114"/>
        <v>0</v>
      </c>
      <c r="X132" s="48">
        <f t="shared" si="115"/>
        <v>0</v>
      </c>
      <c r="Y132" s="48">
        <f t="shared" si="116"/>
        <v>1</v>
      </c>
      <c r="Z132" s="48">
        <f t="shared" si="117"/>
        <v>0</v>
      </c>
      <c r="AA132" s="48">
        <f t="shared" si="118"/>
        <v>0</v>
      </c>
      <c r="AB132" s="48">
        <f t="shared" si="119"/>
        <v>0.5</v>
      </c>
      <c r="AC132" s="48">
        <f t="shared" si="120"/>
        <v>1.2952183657064134</v>
      </c>
      <c r="AD132" s="48">
        <f t="shared" si="121"/>
        <v>0.0032616342935865477</v>
      </c>
      <c r="AE132" s="45">
        <f t="shared" si="122"/>
        <v>2.795600485307176</v>
      </c>
      <c r="AF132" s="45">
        <f t="shared" si="123"/>
        <v>2.79848</v>
      </c>
      <c r="AG132" s="45">
        <f t="shared" si="124"/>
        <v>-0.0028795146928239923</v>
      </c>
      <c r="AH132" s="40">
        <f t="shared" si="125"/>
        <v>-0.051474316474119805</v>
      </c>
      <c r="AI132" s="45">
        <f t="shared" si="126"/>
        <v>5.594080485307176</v>
      </c>
      <c r="AJ132" s="49">
        <f t="shared" si="127"/>
        <v>312.8798591443005</v>
      </c>
      <c r="AK132" s="49"/>
      <c r="AL132" s="50">
        <f t="shared" si="128"/>
        <v>302.5296610546888</v>
      </c>
      <c r="AM132" s="42">
        <f t="shared" si="129"/>
        <v>0.4842344714784669</v>
      </c>
      <c r="AN132" s="42">
        <f t="shared" si="130"/>
        <v>118.2081175425237</v>
      </c>
      <c r="AO132" s="42">
        <f t="shared" si="131"/>
        <v>56.00890635270604</v>
      </c>
      <c r="AP132" s="42">
        <f t="shared" si="132"/>
        <v>62.19921118981766</v>
      </c>
      <c r="AQ132" s="42">
        <f t="shared" si="133"/>
        <v>1.779944263895423</v>
      </c>
      <c r="AR132" s="42">
        <f t="shared" si="134"/>
        <v>1.3048461630470731</v>
      </c>
      <c r="AS132" s="42">
        <f t="shared" si="135"/>
        <v>156.57852578114918</v>
      </c>
      <c r="AT132" s="42">
        <f t="shared" si="136"/>
        <v>174.06324853048093</v>
      </c>
    </row>
    <row r="133" spans="1:46" s="39" customFormat="1" ht="12.75">
      <c r="A133" s="51" t="s">
        <v>57</v>
      </c>
      <c r="C133" s="47">
        <v>7.7</v>
      </c>
      <c r="D133" s="45">
        <v>23</v>
      </c>
      <c r="E133" s="45">
        <v>0.5</v>
      </c>
      <c r="F133" s="45">
        <f t="shared" si="107"/>
        <v>1.2</v>
      </c>
      <c r="G133" s="45">
        <f t="shared" si="108"/>
        <v>36</v>
      </c>
      <c r="J133" s="45">
        <v>35.5</v>
      </c>
      <c r="K133" s="45">
        <v>0</v>
      </c>
      <c r="L133" s="45">
        <v>0</v>
      </c>
      <c r="M133" s="45">
        <f t="shared" si="106"/>
        <v>24</v>
      </c>
      <c r="N133" s="45">
        <f t="shared" si="137"/>
        <v>85.58463974227465</v>
      </c>
      <c r="O133" s="45">
        <f t="shared" si="138"/>
        <v>0.2119871387462461</v>
      </c>
      <c r="P133" s="45">
        <f t="shared" si="139"/>
        <v>85.80015999999999</v>
      </c>
      <c r="Q133" s="47">
        <f t="shared" si="109"/>
        <v>1.4065599999999998</v>
      </c>
      <c r="R133" s="40">
        <f t="shared" si="140"/>
        <v>90.08601976436265</v>
      </c>
      <c r="S133" s="48">
        <f t="shared" si="110"/>
        <v>0.9956709956709956</v>
      </c>
      <c r="T133" s="48">
        <f t="shared" si="111"/>
        <v>0.01278772378516624</v>
      </c>
      <c r="U133" s="48">
        <f t="shared" si="112"/>
        <v>0.09876543209876543</v>
      </c>
      <c r="V133" s="48">
        <f t="shared" si="113"/>
        <v>1.7964071856287427</v>
      </c>
      <c r="W133" s="48">
        <f t="shared" si="114"/>
        <v>0</v>
      </c>
      <c r="X133" s="48">
        <f t="shared" si="115"/>
        <v>0</v>
      </c>
      <c r="Y133" s="48">
        <f t="shared" si="116"/>
        <v>1</v>
      </c>
      <c r="Z133" s="48">
        <f t="shared" si="117"/>
        <v>0</v>
      </c>
      <c r="AA133" s="48">
        <f t="shared" si="118"/>
        <v>0</v>
      </c>
      <c r="AB133" s="48">
        <f t="shared" si="119"/>
        <v>0.5</v>
      </c>
      <c r="AC133" s="48">
        <f t="shared" si="120"/>
        <v>1.403026881020896</v>
      </c>
      <c r="AD133" s="48">
        <f t="shared" si="121"/>
        <v>0.003533118979104102</v>
      </c>
      <c r="AE133" s="45">
        <f t="shared" si="122"/>
        <v>2.90363133718367</v>
      </c>
      <c r="AF133" s="45">
        <f t="shared" si="123"/>
        <v>2.90656</v>
      </c>
      <c r="AG133" s="45">
        <f t="shared" si="124"/>
        <v>-0.0029286628163296413</v>
      </c>
      <c r="AH133" s="40">
        <f t="shared" si="125"/>
        <v>-0.05040561741206323</v>
      </c>
      <c r="AI133" s="45">
        <f t="shared" si="126"/>
        <v>5.81019133718367</v>
      </c>
      <c r="AJ133" s="49">
        <f t="shared" si="127"/>
        <v>323.24274434570214</v>
      </c>
      <c r="AK133" s="49"/>
      <c r="AL133" s="50">
        <f t="shared" si="128"/>
        <v>312.1604134527203</v>
      </c>
      <c r="AM133" s="42">
        <f t="shared" si="129"/>
        <v>0.48358061142185155</v>
      </c>
      <c r="AN133" s="42">
        <f t="shared" si="130"/>
        <v>117.66403803495805</v>
      </c>
      <c r="AO133" s="42">
        <f t="shared" si="131"/>
        <v>56.12065295063784</v>
      </c>
      <c r="AP133" s="42">
        <f t="shared" si="132"/>
        <v>61.54338508432022</v>
      </c>
      <c r="AQ133" s="42">
        <f t="shared" si="133"/>
        <v>1.7898520696132862</v>
      </c>
      <c r="AR133" s="42">
        <f t="shared" si="134"/>
        <v>1.2953192780435563</v>
      </c>
      <c r="AS133" s="42">
        <f t="shared" si="135"/>
        <v>162.95368657068124</v>
      </c>
      <c r="AT133" s="42">
        <f t="shared" si="136"/>
        <v>178.87954135068176</v>
      </c>
    </row>
    <row r="134" spans="1:46" s="39" customFormat="1" ht="12.75">
      <c r="A134" s="51" t="s">
        <v>58</v>
      </c>
      <c r="C134" s="47">
        <v>7.7</v>
      </c>
      <c r="D134" s="45">
        <v>23</v>
      </c>
      <c r="E134" s="45">
        <v>0.5</v>
      </c>
      <c r="F134" s="45">
        <f t="shared" si="107"/>
        <v>1.3</v>
      </c>
      <c r="G134" s="45">
        <f aca="true" t="shared" si="141" ref="G134:G181">G133+2</f>
        <v>38</v>
      </c>
      <c r="J134" s="45">
        <v>35.5</v>
      </c>
      <c r="K134" s="45">
        <v>0</v>
      </c>
      <c r="L134" s="45">
        <v>0</v>
      </c>
      <c r="M134" s="45">
        <f t="shared" si="106"/>
        <v>24</v>
      </c>
      <c r="N134" s="45">
        <f t="shared" si="137"/>
        <v>92.16095917645806</v>
      </c>
      <c r="O134" s="45">
        <f t="shared" si="138"/>
        <v>0.22827621987729937</v>
      </c>
      <c r="P134" s="45">
        <f t="shared" si="139"/>
        <v>92.39303999999998</v>
      </c>
      <c r="Q134" s="47">
        <f aca="true" t="shared" si="142" ref="Q134:Q181">Q133+0.193*$Q$19</f>
        <v>1.5146399999999998</v>
      </c>
      <c r="R134" s="40">
        <f t="shared" si="140"/>
        <v>97.00822501414387</v>
      </c>
      <c r="S134" s="48">
        <f t="shared" si="110"/>
        <v>0.9956709956709956</v>
      </c>
      <c r="T134" s="48">
        <f t="shared" si="111"/>
        <v>0.01278772378516624</v>
      </c>
      <c r="U134" s="48">
        <f t="shared" si="112"/>
        <v>0.10699588477366255</v>
      </c>
      <c r="V134" s="48">
        <f t="shared" si="113"/>
        <v>1.8962075848303395</v>
      </c>
      <c r="W134" s="48">
        <f t="shared" si="114"/>
        <v>0</v>
      </c>
      <c r="X134" s="48">
        <f t="shared" si="115"/>
        <v>0</v>
      </c>
      <c r="Y134" s="48">
        <f t="shared" si="116"/>
        <v>1</v>
      </c>
      <c r="Z134" s="48">
        <f t="shared" si="117"/>
        <v>0</v>
      </c>
      <c r="AA134" s="48">
        <f t="shared" si="118"/>
        <v>0</v>
      </c>
      <c r="AB134" s="48">
        <f t="shared" si="119"/>
        <v>0.5</v>
      </c>
      <c r="AC134" s="48">
        <f t="shared" si="120"/>
        <v>1.510835396335378</v>
      </c>
      <c r="AD134" s="48">
        <f t="shared" si="121"/>
        <v>0.003804603664621656</v>
      </c>
      <c r="AE134" s="45">
        <f t="shared" si="122"/>
        <v>3.011662189060164</v>
      </c>
      <c r="AF134" s="45">
        <f t="shared" si="123"/>
        <v>3.0146399999999995</v>
      </c>
      <c r="AG134" s="45">
        <f t="shared" si="124"/>
        <v>-0.0029778109398357344</v>
      </c>
      <c r="AH134" s="40">
        <f t="shared" si="125"/>
        <v>-0.04941356816194014</v>
      </c>
      <c r="AI134" s="45">
        <f t="shared" si="126"/>
        <v>6.026302189060163</v>
      </c>
      <c r="AJ134" s="49">
        <f t="shared" si="127"/>
        <v>333.6056295471038</v>
      </c>
      <c r="AK134" s="49"/>
      <c r="AL134" s="50">
        <f t="shared" si="128"/>
        <v>321.7684945091526</v>
      </c>
      <c r="AM134" s="42">
        <f t="shared" si="129"/>
        <v>0.48297649993404057</v>
      </c>
      <c r="AN134" s="42">
        <f t="shared" si="130"/>
        <v>117.15896661387967</v>
      </c>
      <c r="AO134" s="42">
        <f t="shared" si="131"/>
        <v>56.224382659947324</v>
      </c>
      <c r="AP134" s="42">
        <f t="shared" si="132"/>
        <v>60.934583953932346</v>
      </c>
      <c r="AQ134" s="42">
        <f t="shared" si="133"/>
        <v>1.7989061346610848</v>
      </c>
      <c r="AR134" s="42">
        <f t="shared" si="134"/>
        <v>1.2863791592113665</v>
      </c>
      <c r="AS134" s="42">
        <f t="shared" si="135"/>
        <v>169.32884736021327</v>
      </c>
      <c r="AT134" s="42">
        <f t="shared" si="136"/>
        <v>183.6958341708826</v>
      </c>
    </row>
    <row r="135" spans="1:46" s="39" customFormat="1" ht="12.75">
      <c r="A135" s="51" t="s">
        <v>59</v>
      </c>
      <c r="C135" s="47">
        <v>7.7</v>
      </c>
      <c r="D135" s="45">
        <v>23</v>
      </c>
      <c r="E135" s="45">
        <v>0.5</v>
      </c>
      <c r="F135" s="45">
        <f t="shared" si="107"/>
        <v>1.4</v>
      </c>
      <c r="G135" s="45">
        <f t="shared" si="141"/>
        <v>40</v>
      </c>
      <c r="J135" s="45">
        <v>35.5</v>
      </c>
      <c r="K135" s="45">
        <v>0</v>
      </c>
      <c r="L135" s="45">
        <v>0</v>
      </c>
      <c r="M135" s="45">
        <f t="shared" si="106"/>
        <v>24</v>
      </c>
      <c r="N135" s="45">
        <f t="shared" si="137"/>
        <v>98.73727861064148</v>
      </c>
      <c r="O135" s="45">
        <f t="shared" si="138"/>
        <v>0.24456530100835264</v>
      </c>
      <c r="P135" s="45">
        <f t="shared" si="139"/>
        <v>98.98591999999998</v>
      </c>
      <c r="Q135" s="47">
        <f t="shared" si="142"/>
        <v>1.6227199999999997</v>
      </c>
      <c r="R135" s="40">
        <f t="shared" si="140"/>
        <v>103.9304302639251</v>
      </c>
      <c r="S135" s="48">
        <f t="shared" si="110"/>
        <v>0.9956709956709956</v>
      </c>
      <c r="T135" s="48">
        <f t="shared" si="111"/>
        <v>0.01278772378516624</v>
      </c>
      <c r="U135" s="48">
        <f t="shared" si="112"/>
        <v>0.11522633744855966</v>
      </c>
      <c r="V135" s="48">
        <f t="shared" si="113"/>
        <v>1.9960079840319362</v>
      </c>
      <c r="W135" s="48">
        <f t="shared" si="114"/>
        <v>0</v>
      </c>
      <c r="X135" s="48">
        <f t="shared" si="115"/>
        <v>0</v>
      </c>
      <c r="Y135" s="48">
        <f t="shared" si="116"/>
        <v>1</v>
      </c>
      <c r="Z135" s="48">
        <f t="shared" si="117"/>
        <v>0</v>
      </c>
      <c r="AA135" s="48">
        <f t="shared" si="118"/>
        <v>0</v>
      </c>
      <c r="AB135" s="48">
        <f t="shared" si="119"/>
        <v>0.5</v>
      </c>
      <c r="AC135" s="48">
        <f t="shared" si="120"/>
        <v>1.6186439116498603</v>
      </c>
      <c r="AD135" s="48">
        <f t="shared" si="121"/>
        <v>0.0040760883501392104</v>
      </c>
      <c r="AE135" s="45">
        <f t="shared" si="122"/>
        <v>3.1196930409366574</v>
      </c>
      <c r="AF135" s="45">
        <f t="shared" si="123"/>
        <v>3.1227199999999993</v>
      </c>
      <c r="AG135" s="45">
        <f t="shared" si="124"/>
        <v>-0.0030269590633418275</v>
      </c>
      <c r="AH135" s="40">
        <f t="shared" si="125"/>
        <v>-0.048490207929074186</v>
      </c>
      <c r="AI135" s="45">
        <f t="shared" si="126"/>
        <v>6.242413040936657</v>
      </c>
      <c r="AJ135" s="49">
        <f t="shared" si="127"/>
        <v>343.96851474850536</v>
      </c>
      <c r="AK135" s="49"/>
      <c r="AL135" s="50">
        <f t="shared" si="128"/>
        <v>331.35403728592837</v>
      </c>
      <c r="AM135" s="42">
        <f t="shared" si="129"/>
        <v>0.48241656784279047</v>
      </c>
      <c r="AN135" s="42">
        <f t="shared" si="130"/>
        <v>116.68885339872718</v>
      </c>
      <c r="AO135" s="42">
        <f t="shared" si="131"/>
        <v>56.32092832344554</v>
      </c>
      <c r="AP135" s="42">
        <f aca="true" t="shared" si="143" ref="AP135:AP181">AT135/(Y135+Z135+AB135+AC133:AC135+AD135)</f>
        <v>60.36792507528163</v>
      </c>
      <c r="AQ135" s="42">
        <f t="shared" si="133"/>
        <v>1.807212249456631</v>
      </c>
      <c r="AR135" s="42">
        <f t="shared" si="134"/>
        <v>1.2779732171705567</v>
      </c>
      <c r="AS135" s="42">
        <f t="shared" si="135"/>
        <v>175.70400814974533</v>
      </c>
      <c r="AT135" s="42">
        <f t="shared" si="136"/>
        <v>188.51212699108342</v>
      </c>
    </row>
    <row r="136" spans="1:46" s="39" customFormat="1" ht="12.75">
      <c r="A136" s="51" t="s">
        <v>60</v>
      </c>
      <c r="C136" s="47">
        <v>7.7</v>
      </c>
      <c r="D136" s="45">
        <v>23</v>
      </c>
      <c r="E136" s="45">
        <v>0.5</v>
      </c>
      <c r="F136" s="45">
        <f t="shared" si="107"/>
        <v>1.5</v>
      </c>
      <c r="G136" s="45">
        <f t="shared" si="141"/>
        <v>42</v>
      </c>
      <c r="J136" s="45">
        <v>35.5</v>
      </c>
      <c r="K136" s="45">
        <v>0</v>
      </c>
      <c r="L136" s="45">
        <v>0</v>
      </c>
      <c r="M136" s="45">
        <f t="shared" si="106"/>
        <v>24</v>
      </c>
      <c r="N136" s="45">
        <f t="shared" si="137"/>
        <v>105.31359804482493</v>
      </c>
      <c r="O136" s="45">
        <f t="shared" si="138"/>
        <v>0.2608543821394059</v>
      </c>
      <c r="P136" s="45">
        <f t="shared" si="139"/>
        <v>105.57879999999999</v>
      </c>
      <c r="Q136" s="47">
        <f t="shared" si="142"/>
        <v>1.7307999999999997</v>
      </c>
      <c r="R136" s="40">
        <f t="shared" si="140"/>
        <v>110.85263551370636</v>
      </c>
      <c r="S136" s="48">
        <f t="shared" si="110"/>
        <v>0.9956709956709956</v>
      </c>
      <c r="T136" s="48">
        <f t="shared" si="111"/>
        <v>0.01278772378516624</v>
      </c>
      <c r="U136" s="48">
        <f t="shared" si="112"/>
        <v>0.12345679012345678</v>
      </c>
      <c r="V136" s="48">
        <f t="shared" si="113"/>
        <v>2.095808383233533</v>
      </c>
      <c r="W136" s="48">
        <f t="shared" si="114"/>
        <v>0</v>
      </c>
      <c r="X136" s="48">
        <f t="shared" si="115"/>
        <v>0</v>
      </c>
      <c r="Y136" s="48">
        <f t="shared" si="116"/>
        <v>1</v>
      </c>
      <c r="Z136" s="48">
        <f t="shared" si="117"/>
        <v>0</v>
      </c>
      <c r="AA136" s="48">
        <f t="shared" si="118"/>
        <v>0</v>
      </c>
      <c r="AB136" s="48">
        <f t="shared" si="119"/>
        <v>0.5</v>
      </c>
      <c r="AC136" s="48">
        <f t="shared" si="120"/>
        <v>1.726452426964343</v>
      </c>
      <c r="AD136" s="48">
        <f t="shared" si="121"/>
        <v>0.004347573035656765</v>
      </c>
      <c r="AE136" s="45">
        <f t="shared" si="122"/>
        <v>3.2277238928131515</v>
      </c>
      <c r="AF136" s="45">
        <f t="shared" si="123"/>
        <v>3.2308</v>
      </c>
      <c r="AG136" s="45">
        <f t="shared" si="124"/>
        <v>-0.0030761071868483647</v>
      </c>
      <c r="AH136" s="40">
        <f t="shared" si="125"/>
        <v>-0.04762864143417296</v>
      </c>
      <c r="AI136" s="45">
        <f t="shared" si="126"/>
        <v>6.458523892813151</v>
      </c>
      <c r="AJ136" s="49">
        <f t="shared" si="127"/>
        <v>354.33139994990705</v>
      </c>
      <c r="AK136" s="49"/>
      <c r="AL136" s="50">
        <f t="shared" si="128"/>
        <v>340.9171956745368</v>
      </c>
      <c r="AM136" s="42">
        <f t="shared" si="129"/>
        <v>0.48189604369044126</v>
      </c>
      <c r="AN136" s="42">
        <f t="shared" si="130"/>
        <v>116.25019037631233</v>
      </c>
      <c r="AO136" s="42">
        <f t="shared" si="131"/>
        <v>56.41101128404903</v>
      </c>
      <c r="AP136" s="42">
        <f t="shared" si="143"/>
        <v>59.839179092263294</v>
      </c>
      <c r="AQ136" s="42">
        <f t="shared" si="133"/>
        <v>1.8148594191753677</v>
      </c>
      <c r="AR136" s="42">
        <f t="shared" si="134"/>
        <v>1.270054964722992</v>
      </c>
      <c r="AS136" s="42">
        <f t="shared" si="135"/>
        <v>182.07916893927737</v>
      </c>
      <c r="AT136" s="42">
        <f t="shared" si="136"/>
        <v>193.32841981128425</v>
      </c>
    </row>
    <row r="137" spans="1:46" s="39" customFormat="1" ht="12.75">
      <c r="A137" s="51" t="s">
        <v>61</v>
      </c>
      <c r="C137" s="47">
        <v>7.7</v>
      </c>
      <c r="D137" s="45">
        <v>23</v>
      </c>
      <c r="E137" s="45">
        <v>0.5</v>
      </c>
      <c r="F137" s="45">
        <f t="shared" si="107"/>
        <v>1.6</v>
      </c>
      <c r="G137" s="45">
        <f t="shared" si="141"/>
        <v>44</v>
      </c>
      <c r="J137" s="45">
        <v>35.5</v>
      </c>
      <c r="K137" s="45">
        <v>0</v>
      </c>
      <c r="L137" s="45">
        <v>0</v>
      </c>
      <c r="M137" s="45">
        <f t="shared" si="106"/>
        <v>24</v>
      </c>
      <c r="N137" s="45">
        <f t="shared" si="137"/>
        <v>111.88991747900835</v>
      </c>
      <c r="O137" s="45">
        <f t="shared" si="138"/>
        <v>0.2771434632704592</v>
      </c>
      <c r="P137" s="45">
        <f t="shared" si="139"/>
        <v>112.17167999999998</v>
      </c>
      <c r="Q137" s="47">
        <f t="shared" si="142"/>
        <v>1.8388799999999996</v>
      </c>
      <c r="R137" s="40">
        <f t="shared" si="140"/>
        <v>117.77484076348762</v>
      </c>
      <c r="S137" s="48">
        <f t="shared" si="110"/>
        <v>0.9956709956709956</v>
      </c>
      <c r="T137" s="48">
        <f t="shared" si="111"/>
        <v>0.01278772378516624</v>
      </c>
      <c r="U137" s="48">
        <f t="shared" si="112"/>
        <v>0.13168724279835392</v>
      </c>
      <c r="V137" s="48">
        <f t="shared" si="113"/>
        <v>2.19560878243513</v>
      </c>
      <c r="W137" s="48">
        <f t="shared" si="114"/>
        <v>0</v>
      </c>
      <c r="X137" s="48">
        <f t="shared" si="115"/>
        <v>0</v>
      </c>
      <c r="Y137" s="48">
        <f t="shared" si="116"/>
        <v>1</v>
      </c>
      <c r="Z137" s="48">
        <f t="shared" si="117"/>
        <v>0</v>
      </c>
      <c r="AA137" s="48">
        <f t="shared" si="118"/>
        <v>0</v>
      </c>
      <c r="AB137" s="48">
        <f t="shared" si="119"/>
        <v>0.5</v>
      </c>
      <c r="AC137" s="48">
        <f t="shared" si="120"/>
        <v>1.8342609422788254</v>
      </c>
      <c r="AD137" s="48">
        <f t="shared" si="121"/>
        <v>0.00461905772117432</v>
      </c>
      <c r="AE137" s="45">
        <f t="shared" si="122"/>
        <v>3.3357547446896456</v>
      </c>
      <c r="AF137" s="45">
        <f t="shared" si="123"/>
        <v>3.3388799999999996</v>
      </c>
      <c r="AG137" s="45">
        <f t="shared" si="124"/>
        <v>-0.0031252553103540137</v>
      </c>
      <c r="AH137" s="40">
        <f t="shared" si="125"/>
        <v>-0.04682286641737923</v>
      </c>
      <c r="AI137" s="45">
        <f t="shared" si="126"/>
        <v>6.674634744689645</v>
      </c>
      <c r="AJ137" s="49">
        <f t="shared" si="127"/>
        <v>364.6942851513087</v>
      </c>
      <c r="AK137" s="49"/>
      <c r="AL137" s="50">
        <f t="shared" si="128"/>
        <v>350.4581386090226</v>
      </c>
      <c r="AM137" s="42">
        <f t="shared" si="129"/>
        <v>0.48141081843122074</v>
      </c>
      <c r="AN137" s="42">
        <f t="shared" si="130"/>
        <v>115.83992370791064</v>
      </c>
      <c r="AO137" s="42">
        <f t="shared" si="131"/>
        <v>56.49525943980723</v>
      </c>
      <c r="AP137" s="42">
        <f t="shared" si="143"/>
        <v>59.344664268103415</v>
      </c>
      <c r="AQ137" s="42">
        <f t="shared" si="133"/>
        <v>1.8219230657771677</v>
      </c>
      <c r="AR137" s="42">
        <f t="shared" si="134"/>
        <v>1.2625831567240529</v>
      </c>
      <c r="AS137" s="42">
        <f t="shared" si="135"/>
        <v>188.45432972880945</v>
      </c>
      <c r="AT137" s="42">
        <f t="shared" si="136"/>
        <v>198.1447126314851</v>
      </c>
    </row>
    <row r="138" spans="1:46" s="39" customFormat="1" ht="12.75">
      <c r="A138" s="51" t="s">
        <v>62</v>
      </c>
      <c r="C138" s="47">
        <v>7.7</v>
      </c>
      <c r="D138" s="45">
        <v>23</v>
      </c>
      <c r="E138" s="45">
        <v>0.5</v>
      </c>
      <c r="F138" s="45">
        <f t="shared" si="107"/>
        <v>1.7</v>
      </c>
      <c r="G138" s="45">
        <f t="shared" si="141"/>
        <v>46</v>
      </c>
      <c r="J138" s="45">
        <v>35.5</v>
      </c>
      <c r="K138" s="45">
        <v>0</v>
      </c>
      <c r="L138" s="45">
        <v>0</v>
      </c>
      <c r="M138" s="45">
        <f t="shared" si="106"/>
        <v>24</v>
      </c>
      <c r="N138" s="45">
        <f t="shared" si="137"/>
        <v>118.46623691319176</v>
      </c>
      <c r="O138" s="45">
        <f t="shared" si="138"/>
        <v>0.2934325444015124</v>
      </c>
      <c r="P138" s="45">
        <f t="shared" si="139"/>
        <v>118.76455999999997</v>
      </c>
      <c r="Q138" s="47">
        <f t="shared" si="142"/>
        <v>1.9469599999999996</v>
      </c>
      <c r="R138" s="40">
        <f t="shared" si="140"/>
        <v>124.69704601326885</v>
      </c>
      <c r="S138" s="48">
        <f t="shared" si="110"/>
        <v>0.9956709956709956</v>
      </c>
      <c r="T138" s="48">
        <f t="shared" si="111"/>
        <v>0.01278772378516624</v>
      </c>
      <c r="U138" s="48">
        <f t="shared" si="112"/>
        <v>0.13991769547325103</v>
      </c>
      <c r="V138" s="48">
        <f t="shared" si="113"/>
        <v>2.295409181636727</v>
      </c>
      <c r="W138" s="48">
        <f t="shared" si="114"/>
        <v>0</v>
      </c>
      <c r="X138" s="48">
        <f t="shared" si="115"/>
        <v>0</v>
      </c>
      <c r="Y138" s="48">
        <f t="shared" si="116"/>
        <v>1</v>
      </c>
      <c r="Z138" s="48">
        <f t="shared" si="117"/>
        <v>0</v>
      </c>
      <c r="AA138" s="48">
        <f t="shared" si="118"/>
        <v>0</v>
      </c>
      <c r="AB138" s="48">
        <f t="shared" si="119"/>
        <v>0.5</v>
      </c>
      <c r="AC138" s="48">
        <f t="shared" si="120"/>
        <v>1.9420694575933075</v>
      </c>
      <c r="AD138" s="48">
        <f t="shared" si="121"/>
        <v>0.004890542406691873</v>
      </c>
      <c r="AE138" s="45">
        <f t="shared" si="122"/>
        <v>3.4437855965661397</v>
      </c>
      <c r="AF138" s="45">
        <f t="shared" si="123"/>
        <v>3.4469599999999994</v>
      </c>
      <c r="AG138" s="45">
        <f t="shared" si="124"/>
        <v>-0.0031744034338596627</v>
      </c>
      <c r="AH138" s="40">
        <f t="shared" si="125"/>
        <v>-0.0460676336018204</v>
      </c>
      <c r="AI138" s="45">
        <f t="shared" si="126"/>
        <v>6.8907455965661395</v>
      </c>
      <c r="AJ138" s="49">
        <f t="shared" si="127"/>
        <v>375.05717035271033</v>
      </c>
      <c r="AK138" s="49"/>
      <c r="AL138" s="50">
        <f t="shared" si="128"/>
        <v>359.97704567420476</v>
      </c>
      <c r="AM138" s="42">
        <f t="shared" si="129"/>
        <v>0.48095733595709955</v>
      </c>
      <c r="AN138" s="42">
        <f t="shared" si="130"/>
        <v>115.45538253252047</v>
      </c>
      <c r="AO138" s="42">
        <f t="shared" si="131"/>
        <v>56.57422190063441</v>
      </c>
      <c r="AP138" s="42">
        <f t="shared" si="143"/>
        <v>58.881160631886054</v>
      </c>
      <c r="AQ138" s="42">
        <f t="shared" si="133"/>
        <v>1.8284675239721022</v>
      </c>
      <c r="AR138" s="42">
        <f t="shared" si="134"/>
        <v>1.255521071451863</v>
      </c>
      <c r="AS138" s="42">
        <f t="shared" si="135"/>
        <v>194.82949051834146</v>
      </c>
      <c r="AT138" s="42">
        <f t="shared" si="136"/>
        <v>202.9610054516859</v>
      </c>
    </row>
    <row r="139" spans="1:46" s="39" customFormat="1" ht="12.75">
      <c r="A139" s="51" t="s">
        <v>63</v>
      </c>
      <c r="C139" s="47">
        <v>7.7</v>
      </c>
      <c r="D139" s="45">
        <v>23</v>
      </c>
      <c r="E139" s="45">
        <v>0.5</v>
      </c>
      <c r="F139" s="45">
        <f t="shared" si="107"/>
        <v>1.8</v>
      </c>
      <c r="G139" s="45">
        <f t="shared" si="141"/>
        <v>48</v>
      </c>
      <c r="J139" s="45">
        <v>35.5</v>
      </c>
      <c r="K139" s="45">
        <v>0</v>
      </c>
      <c r="L139" s="45">
        <v>0</v>
      </c>
      <c r="M139" s="45">
        <f t="shared" si="106"/>
        <v>24</v>
      </c>
      <c r="N139" s="45">
        <f t="shared" si="137"/>
        <v>125.0425563473752</v>
      </c>
      <c r="O139" s="45">
        <f t="shared" si="138"/>
        <v>0.3097216255325657</v>
      </c>
      <c r="P139" s="45">
        <f t="shared" si="139"/>
        <v>125.35743999999997</v>
      </c>
      <c r="Q139" s="47">
        <f t="shared" si="142"/>
        <v>2.0550399999999995</v>
      </c>
      <c r="R139" s="40">
        <f t="shared" si="140"/>
        <v>131.6192512630501</v>
      </c>
      <c r="S139" s="48">
        <f t="shared" si="110"/>
        <v>0.9956709956709956</v>
      </c>
      <c r="T139" s="48">
        <f t="shared" si="111"/>
        <v>0.01278772378516624</v>
      </c>
      <c r="U139" s="48">
        <f t="shared" si="112"/>
        <v>0.14814814814814814</v>
      </c>
      <c r="V139" s="48">
        <f t="shared" si="113"/>
        <v>2.3952095808383236</v>
      </c>
      <c r="W139" s="48">
        <f t="shared" si="114"/>
        <v>0</v>
      </c>
      <c r="X139" s="48">
        <f t="shared" si="115"/>
        <v>0</v>
      </c>
      <c r="Y139" s="48">
        <f t="shared" si="116"/>
        <v>1</v>
      </c>
      <c r="Z139" s="48">
        <f t="shared" si="117"/>
        <v>0</v>
      </c>
      <c r="AA139" s="48">
        <f t="shared" si="118"/>
        <v>0</v>
      </c>
      <c r="AB139" s="48">
        <f t="shared" si="119"/>
        <v>0.5</v>
      </c>
      <c r="AC139" s="48">
        <f t="shared" si="120"/>
        <v>2.0498779729077903</v>
      </c>
      <c r="AD139" s="48">
        <f t="shared" si="121"/>
        <v>0.005162027092209429</v>
      </c>
      <c r="AE139" s="45">
        <f t="shared" si="122"/>
        <v>3.5518164484426338</v>
      </c>
      <c r="AF139" s="45">
        <f t="shared" si="123"/>
        <v>3.5550399999999995</v>
      </c>
      <c r="AG139" s="45">
        <f t="shared" si="124"/>
        <v>-0.003223551557365756</v>
      </c>
      <c r="AH139" s="40">
        <f t="shared" si="125"/>
        <v>-0.04535833220709209</v>
      </c>
      <c r="AI139" s="45">
        <f t="shared" si="126"/>
        <v>7.106856448442633</v>
      </c>
      <c r="AJ139" s="49">
        <f t="shared" si="127"/>
        <v>385.4200555541119</v>
      </c>
      <c r="AK139" s="49"/>
      <c r="AL139" s="50">
        <f t="shared" si="128"/>
        <v>369.47410375318896</v>
      </c>
      <c r="AM139" s="42">
        <f t="shared" si="129"/>
        <v>0.48053250412253573</v>
      </c>
      <c r="AN139" s="42">
        <f t="shared" si="130"/>
        <v>115.09422075601381</v>
      </c>
      <c r="AO139" s="42">
        <f t="shared" si="131"/>
        <v>56.64838097027671</v>
      </c>
      <c r="AP139" s="42">
        <f t="shared" si="143"/>
        <v>58.44583978573709</v>
      </c>
      <c r="AQ139" s="42">
        <f t="shared" si="133"/>
        <v>1.8345480063243211</v>
      </c>
      <c r="AR139" s="42">
        <f t="shared" si="134"/>
        <v>1.2488359070417938</v>
      </c>
      <c r="AS139" s="42">
        <f t="shared" si="135"/>
        <v>201.20465130787352</v>
      </c>
      <c r="AT139" s="42">
        <f t="shared" si="136"/>
        <v>207.77729827188676</v>
      </c>
    </row>
    <row r="140" spans="1:46" s="39" customFormat="1" ht="12.75">
      <c r="A140" s="51" t="s">
        <v>67</v>
      </c>
      <c r="C140" s="47">
        <v>7.7</v>
      </c>
      <c r="D140" s="45">
        <v>23</v>
      </c>
      <c r="E140" s="45">
        <v>0.5</v>
      </c>
      <c r="F140" s="45">
        <f t="shared" si="107"/>
        <v>1.9</v>
      </c>
      <c r="G140" s="45">
        <f t="shared" si="141"/>
        <v>50</v>
      </c>
      <c r="J140" s="45">
        <v>35.5</v>
      </c>
      <c r="K140" s="45">
        <v>0</v>
      </c>
      <c r="L140" s="45">
        <v>0</v>
      </c>
      <c r="M140" s="45">
        <f t="shared" si="106"/>
        <v>24</v>
      </c>
      <c r="N140" s="45">
        <f t="shared" si="137"/>
        <v>131.61887578155864</v>
      </c>
      <c r="O140" s="45">
        <f t="shared" si="138"/>
        <v>0.326010706663619</v>
      </c>
      <c r="P140" s="45">
        <f t="shared" si="139"/>
        <v>131.95031999999998</v>
      </c>
      <c r="Q140" s="47">
        <f t="shared" si="142"/>
        <v>2.1631199999999997</v>
      </c>
      <c r="R140" s="40">
        <f t="shared" si="140"/>
        <v>138.54145651283136</v>
      </c>
      <c r="S140" s="48">
        <f t="shared" si="110"/>
        <v>0.9956709956709956</v>
      </c>
      <c r="T140" s="48">
        <f t="shared" si="111"/>
        <v>0.01278772378516624</v>
      </c>
      <c r="U140" s="48">
        <f t="shared" si="112"/>
        <v>0.15637860082304525</v>
      </c>
      <c r="V140" s="48">
        <f t="shared" si="113"/>
        <v>2.4950099800399204</v>
      </c>
      <c r="W140" s="48">
        <f t="shared" si="114"/>
        <v>0</v>
      </c>
      <c r="X140" s="48">
        <f t="shared" si="115"/>
        <v>0</v>
      </c>
      <c r="Y140" s="48">
        <f t="shared" si="116"/>
        <v>1</v>
      </c>
      <c r="Z140" s="48">
        <f t="shared" si="117"/>
        <v>0</v>
      </c>
      <c r="AA140" s="48">
        <f t="shared" si="118"/>
        <v>0</v>
      </c>
      <c r="AB140" s="48">
        <f t="shared" si="119"/>
        <v>0.5</v>
      </c>
      <c r="AC140" s="48">
        <f t="shared" si="120"/>
        <v>2.157686488222273</v>
      </c>
      <c r="AD140" s="48">
        <f t="shared" si="121"/>
        <v>0.005433511777726983</v>
      </c>
      <c r="AE140" s="45">
        <f t="shared" si="122"/>
        <v>3.6598473003191274</v>
      </c>
      <c r="AF140" s="45">
        <f t="shared" si="123"/>
        <v>3.6631199999999997</v>
      </c>
      <c r="AG140" s="45">
        <f t="shared" si="124"/>
        <v>-0.003272699680872293</v>
      </c>
      <c r="AH140" s="40">
        <f t="shared" si="125"/>
        <v>-0.04469089573470678</v>
      </c>
      <c r="AI140" s="45">
        <f t="shared" si="126"/>
        <v>7.322967300319127</v>
      </c>
      <c r="AJ140" s="49">
        <f t="shared" si="127"/>
        <v>395.7829407555136</v>
      </c>
      <c r="AK140" s="49"/>
      <c r="AL140" s="50">
        <f t="shared" si="128"/>
        <v>378.9495044565538</v>
      </c>
      <c r="AM140" s="42">
        <f t="shared" si="129"/>
        <v>0.4801336220785341</v>
      </c>
      <c r="AN140" s="42">
        <f t="shared" si="130"/>
        <v>114.754369144388</v>
      </c>
      <c r="AO140" s="42">
        <f t="shared" si="131"/>
        <v>56.71816200618678</v>
      </c>
      <c r="AP140" s="42">
        <f t="shared" si="143"/>
        <v>58.036207138201206</v>
      </c>
      <c r="AQ140" s="42">
        <f t="shared" si="133"/>
        <v>1.8402121647103962</v>
      </c>
      <c r="AR140" s="42">
        <f t="shared" si="134"/>
        <v>1.2424982720503348</v>
      </c>
      <c r="AS140" s="42">
        <f t="shared" si="135"/>
        <v>207.57981209740558</v>
      </c>
      <c r="AT140" s="42">
        <f t="shared" si="136"/>
        <v>212.5935910920876</v>
      </c>
    </row>
    <row r="141" spans="1:46" s="39" customFormat="1" ht="12.75">
      <c r="A141" s="51" t="s">
        <v>68</v>
      </c>
      <c r="C141" s="47">
        <v>7.7</v>
      </c>
      <c r="D141" s="45">
        <v>23</v>
      </c>
      <c r="E141" s="45">
        <v>0.5</v>
      </c>
      <c r="F141" s="45">
        <f t="shared" si="107"/>
        <v>2</v>
      </c>
      <c r="G141" s="45">
        <f t="shared" si="141"/>
        <v>52</v>
      </c>
      <c r="J141" s="45">
        <v>35.5</v>
      </c>
      <c r="K141" s="45">
        <v>0</v>
      </c>
      <c r="L141" s="45">
        <v>0</v>
      </c>
      <c r="M141" s="45">
        <f t="shared" si="106"/>
        <v>24</v>
      </c>
      <c r="N141" s="45">
        <f t="shared" si="137"/>
        <v>138.19519521574207</v>
      </c>
      <c r="O141" s="45">
        <f t="shared" si="138"/>
        <v>0.34229978779467224</v>
      </c>
      <c r="P141" s="45">
        <f t="shared" si="139"/>
        <v>138.54319999999998</v>
      </c>
      <c r="Q141" s="47">
        <f t="shared" si="142"/>
        <v>2.2712</v>
      </c>
      <c r="R141" s="40">
        <f t="shared" si="140"/>
        <v>145.46366176261262</v>
      </c>
      <c r="S141" s="48">
        <f t="shared" si="110"/>
        <v>0.9956709956709956</v>
      </c>
      <c r="T141" s="48">
        <f t="shared" si="111"/>
        <v>0.01278772378516624</v>
      </c>
      <c r="U141" s="48">
        <f t="shared" si="112"/>
        <v>0.1646090534979424</v>
      </c>
      <c r="V141" s="48">
        <f t="shared" si="113"/>
        <v>2.594810379241517</v>
      </c>
      <c r="W141" s="48">
        <f t="shared" si="114"/>
        <v>0</v>
      </c>
      <c r="X141" s="48">
        <f t="shared" si="115"/>
        <v>0</v>
      </c>
      <c r="Y141" s="48">
        <f t="shared" si="116"/>
        <v>1</v>
      </c>
      <c r="Z141" s="48">
        <f t="shared" si="117"/>
        <v>0</v>
      </c>
      <c r="AA141" s="48">
        <f t="shared" si="118"/>
        <v>0</v>
      </c>
      <c r="AB141" s="48">
        <f t="shared" si="119"/>
        <v>0.5</v>
      </c>
      <c r="AC141" s="48">
        <f t="shared" si="120"/>
        <v>2.2654950035367554</v>
      </c>
      <c r="AD141" s="48">
        <f t="shared" si="121"/>
        <v>0.005704996463244538</v>
      </c>
      <c r="AE141" s="45">
        <f t="shared" si="122"/>
        <v>3.767878152195621</v>
      </c>
      <c r="AF141" s="45">
        <f t="shared" si="123"/>
        <v>3.7712</v>
      </c>
      <c r="AG141" s="45">
        <f t="shared" si="124"/>
        <v>-0.00332184780437883</v>
      </c>
      <c r="AH141" s="40">
        <f t="shared" si="125"/>
        <v>-0.04406172395774146</v>
      </c>
      <c r="AI141" s="45">
        <f t="shared" si="126"/>
        <v>7.539078152195621</v>
      </c>
      <c r="AJ141" s="49">
        <f t="shared" si="127"/>
        <v>406.1458259569152</v>
      </c>
      <c r="AK141" s="49"/>
      <c r="AL141" s="50">
        <f t="shared" si="128"/>
        <v>388.40344214457326</v>
      </c>
      <c r="AM141" s="42">
        <f t="shared" si="129"/>
        <v>0.4797583206290825</v>
      </c>
      <c r="AN141" s="42">
        <f t="shared" si="130"/>
        <v>114.43399565414146</v>
      </c>
      <c r="AO141" s="42">
        <f t="shared" si="131"/>
        <v>56.78394158321218</v>
      </c>
      <c r="AP141" s="42">
        <f t="shared" si="143"/>
        <v>57.650054070929265</v>
      </c>
      <c r="AQ141" s="42">
        <f t="shared" si="133"/>
        <v>1.8455013416603419</v>
      </c>
      <c r="AR141" s="42">
        <f t="shared" si="134"/>
        <v>1.2364817534555637</v>
      </c>
      <c r="AS141" s="42">
        <f t="shared" si="135"/>
        <v>213.9549728869376</v>
      </c>
      <c r="AT141" s="42">
        <f t="shared" si="136"/>
        <v>217.40988391228845</v>
      </c>
    </row>
    <row r="142" spans="1:46" s="39" customFormat="1" ht="12.75">
      <c r="A142" s="51" t="s">
        <v>69</v>
      </c>
      <c r="C142" s="47">
        <v>7.7</v>
      </c>
      <c r="D142" s="45">
        <v>23</v>
      </c>
      <c r="E142" s="45">
        <v>0.5</v>
      </c>
      <c r="F142" s="45">
        <f t="shared" si="107"/>
        <v>2.1</v>
      </c>
      <c r="G142" s="45">
        <f t="shared" si="141"/>
        <v>54</v>
      </c>
      <c r="J142" s="45">
        <v>35.5</v>
      </c>
      <c r="K142" s="45">
        <v>0</v>
      </c>
      <c r="L142" s="45">
        <v>0</v>
      </c>
      <c r="M142" s="45">
        <f t="shared" si="106"/>
        <v>24</v>
      </c>
      <c r="N142" s="45">
        <f t="shared" si="137"/>
        <v>144.7715146499255</v>
      </c>
      <c r="O142" s="45">
        <f t="shared" si="138"/>
        <v>0.35858886892572556</v>
      </c>
      <c r="P142" s="45">
        <f t="shared" si="139"/>
        <v>145.13608</v>
      </c>
      <c r="Q142" s="47">
        <f t="shared" si="142"/>
        <v>2.37928</v>
      </c>
      <c r="R142" s="40">
        <f t="shared" si="140"/>
        <v>152.38586701239387</v>
      </c>
      <c r="S142" s="48">
        <f t="shared" si="110"/>
        <v>0.9956709956709956</v>
      </c>
      <c r="T142" s="48">
        <f t="shared" si="111"/>
        <v>0.01278772378516624</v>
      </c>
      <c r="U142" s="48">
        <f t="shared" si="112"/>
        <v>0.1728395061728395</v>
      </c>
      <c r="V142" s="48">
        <f t="shared" si="113"/>
        <v>2.694610778443114</v>
      </c>
      <c r="W142" s="48">
        <f t="shared" si="114"/>
        <v>0</v>
      </c>
      <c r="X142" s="48">
        <f t="shared" si="115"/>
        <v>0</v>
      </c>
      <c r="Y142" s="48">
        <f t="shared" si="116"/>
        <v>1</v>
      </c>
      <c r="Z142" s="48">
        <f t="shared" si="117"/>
        <v>0</v>
      </c>
      <c r="AA142" s="48">
        <f t="shared" si="118"/>
        <v>0</v>
      </c>
      <c r="AB142" s="48">
        <f t="shared" si="119"/>
        <v>0.5</v>
      </c>
      <c r="AC142" s="48">
        <f t="shared" si="120"/>
        <v>2.373303518851238</v>
      </c>
      <c r="AD142" s="48">
        <f t="shared" si="121"/>
        <v>0.0059764811487620926</v>
      </c>
      <c r="AE142" s="45">
        <f t="shared" si="122"/>
        <v>3.875909004072115</v>
      </c>
      <c r="AF142" s="45">
        <f t="shared" si="123"/>
        <v>3.87928</v>
      </c>
      <c r="AG142" s="45">
        <f t="shared" si="124"/>
        <v>-0.0033709959278849233</v>
      </c>
      <c r="AH142" s="40">
        <f t="shared" si="125"/>
        <v>-0.043467617953796764</v>
      </c>
      <c r="AI142" s="45">
        <f t="shared" si="126"/>
        <v>7.755189004072115</v>
      </c>
      <c r="AJ142" s="49">
        <f t="shared" si="127"/>
        <v>416.5087111583169</v>
      </c>
      <c r="AK142" s="49"/>
      <c r="AL142" s="50">
        <f t="shared" si="128"/>
        <v>397.83611240286245</v>
      </c>
      <c r="AM142" s="42">
        <f t="shared" si="129"/>
        <v>0.47940451302939</v>
      </c>
      <c r="AN142" s="42">
        <f t="shared" si="130"/>
        <v>114.13147239345798</v>
      </c>
      <c r="AO142" s="42">
        <f t="shared" si="131"/>
        <v>56.84605429203471</v>
      </c>
      <c r="AP142" s="42">
        <f t="shared" si="143"/>
        <v>57.28541810142328</v>
      </c>
      <c r="AQ142" s="42">
        <f t="shared" si="133"/>
        <v>1.8504515811358528</v>
      </c>
      <c r="AR142" s="42">
        <f t="shared" si="134"/>
        <v>1.230762548701013</v>
      </c>
      <c r="AS142" s="42">
        <f t="shared" si="135"/>
        <v>220.33013367646964</v>
      </c>
      <c r="AT142" s="42">
        <f t="shared" si="136"/>
        <v>222.2261767324893</v>
      </c>
    </row>
    <row r="143" spans="1:46" s="39" customFormat="1" ht="12.75">
      <c r="A143" s="51" t="s">
        <v>70</v>
      </c>
      <c r="C143" s="47">
        <v>7.7</v>
      </c>
      <c r="D143" s="45">
        <v>23</v>
      </c>
      <c r="E143" s="45">
        <v>0.5</v>
      </c>
      <c r="F143" s="45">
        <f t="shared" si="107"/>
        <v>2.2</v>
      </c>
      <c r="G143" s="45">
        <f t="shared" si="141"/>
        <v>56</v>
      </c>
      <c r="J143" s="45">
        <v>35.5</v>
      </c>
      <c r="K143" s="45">
        <v>0</v>
      </c>
      <c r="L143" s="45">
        <v>0</v>
      </c>
      <c r="M143" s="45">
        <f t="shared" si="106"/>
        <v>24</v>
      </c>
      <c r="N143" s="45">
        <f t="shared" si="137"/>
        <v>151.34783408410894</v>
      </c>
      <c r="O143" s="45">
        <f t="shared" si="138"/>
        <v>0.3748779500567788</v>
      </c>
      <c r="P143" s="45">
        <f t="shared" si="139"/>
        <v>151.72896</v>
      </c>
      <c r="Q143" s="47">
        <f t="shared" si="142"/>
        <v>2.4873600000000002</v>
      </c>
      <c r="R143" s="40">
        <f t="shared" si="140"/>
        <v>159.30807226217513</v>
      </c>
      <c r="S143" s="48">
        <f t="shared" si="110"/>
        <v>0.9956709956709956</v>
      </c>
      <c r="T143" s="48">
        <f t="shared" si="111"/>
        <v>0.01278772378516624</v>
      </c>
      <c r="U143" s="48">
        <f t="shared" si="112"/>
        <v>0.18106995884773663</v>
      </c>
      <c r="V143" s="48">
        <f t="shared" si="113"/>
        <v>2.7944111776447107</v>
      </c>
      <c r="W143" s="48">
        <f t="shared" si="114"/>
        <v>0</v>
      </c>
      <c r="X143" s="48">
        <f t="shared" si="115"/>
        <v>0</v>
      </c>
      <c r="Y143" s="48">
        <f t="shared" si="116"/>
        <v>1</v>
      </c>
      <c r="Z143" s="48">
        <f t="shared" si="117"/>
        <v>0</v>
      </c>
      <c r="AA143" s="48">
        <f t="shared" si="118"/>
        <v>0</v>
      </c>
      <c r="AB143" s="48">
        <f t="shared" si="119"/>
        <v>0.5</v>
      </c>
      <c r="AC143" s="48">
        <f t="shared" si="120"/>
        <v>2.4811120341657205</v>
      </c>
      <c r="AD143" s="48">
        <f t="shared" si="121"/>
        <v>0.006247965834279647</v>
      </c>
      <c r="AE143" s="45">
        <f t="shared" si="122"/>
        <v>3.983939855948609</v>
      </c>
      <c r="AF143" s="45">
        <f t="shared" si="123"/>
        <v>3.9873600000000002</v>
      </c>
      <c r="AG143" s="45">
        <f t="shared" si="124"/>
        <v>-0.0034201440513910164</v>
      </c>
      <c r="AH143" s="40">
        <f t="shared" si="125"/>
        <v>-0.042905725705936426</v>
      </c>
      <c r="AI143" s="45">
        <f t="shared" si="126"/>
        <v>7.97129985594861</v>
      </c>
      <c r="AJ143" s="49">
        <f t="shared" si="127"/>
        <v>426.8715963597186</v>
      </c>
      <c r="AK143" s="49"/>
      <c r="AL143" s="50">
        <f t="shared" si="128"/>
        <v>407.24771086711485</v>
      </c>
      <c r="AM143" s="42">
        <f t="shared" si="129"/>
        <v>0.47907035419518584</v>
      </c>
      <c r="AN143" s="42">
        <f t="shared" si="130"/>
        <v>113.84534795617725</v>
      </c>
      <c r="AO143" s="42">
        <f t="shared" si="131"/>
        <v>56.90479843150676</v>
      </c>
      <c r="AP143" s="42">
        <f t="shared" si="143"/>
        <v>56.94054952467049</v>
      </c>
      <c r="AQ143" s="42">
        <f t="shared" si="133"/>
        <v>1.8550944510252367</v>
      </c>
      <c r="AR143" s="42">
        <f t="shared" si="134"/>
        <v>1.2253191509732824</v>
      </c>
      <c r="AS143" s="42">
        <f t="shared" si="135"/>
        <v>226.7052944660017</v>
      </c>
      <c r="AT143" s="42">
        <f t="shared" si="136"/>
        <v>227.04246955269014</v>
      </c>
    </row>
    <row r="144" spans="1:46" s="39" customFormat="1" ht="12.75">
      <c r="A144" s="51" t="s">
        <v>71</v>
      </c>
      <c r="C144" s="47">
        <v>7.7</v>
      </c>
      <c r="D144" s="45">
        <v>23</v>
      </c>
      <c r="E144" s="45">
        <v>0.5</v>
      </c>
      <c r="F144" s="45">
        <f t="shared" si="107"/>
        <v>2.3</v>
      </c>
      <c r="G144" s="45">
        <f t="shared" si="141"/>
        <v>58</v>
      </c>
      <c r="J144" s="45">
        <v>35.5</v>
      </c>
      <c r="K144" s="45">
        <v>0</v>
      </c>
      <c r="L144" s="45">
        <v>0</v>
      </c>
      <c r="M144" s="45">
        <f t="shared" si="106"/>
        <v>24</v>
      </c>
      <c r="N144" s="45">
        <f t="shared" si="137"/>
        <v>157.9241535182924</v>
      </c>
      <c r="O144" s="45">
        <f t="shared" si="138"/>
        <v>0.3911670311878321</v>
      </c>
      <c r="P144" s="45">
        <f t="shared" si="139"/>
        <v>158.32184000000004</v>
      </c>
      <c r="Q144" s="47">
        <f t="shared" si="142"/>
        <v>2.5954400000000004</v>
      </c>
      <c r="R144" s="40">
        <f t="shared" si="140"/>
        <v>166.2302775119564</v>
      </c>
      <c r="S144" s="48">
        <f t="shared" si="110"/>
        <v>0.9956709956709956</v>
      </c>
      <c r="T144" s="48">
        <f t="shared" si="111"/>
        <v>0.01278772378516624</v>
      </c>
      <c r="U144" s="48">
        <f t="shared" si="112"/>
        <v>0.18930041152263372</v>
      </c>
      <c r="V144" s="48">
        <f t="shared" si="113"/>
        <v>2.8942115768463075</v>
      </c>
      <c r="W144" s="48">
        <f t="shared" si="114"/>
        <v>0</v>
      </c>
      <c r="X144" s="48">
        <f t="shared" si="115"/>
        <v>0</v>
      </c>
      <c r="Y144" s="48">
        <f t="shared" si="116"/>
        <v>1</v>
      </c>
      <c r="Z144" s="48">
        <f t="shared" si="117"/>
        <v>0</v>
      </c>
      <c r="AA144" s="48">
        <f t="shared" si="118"/>
        <v>0</v>
      </c>
      <c r="AB144" s="48">
        <f t="shared" si="119"/>
        <v>0.5</v>
      </c>
      <c r="AC144" s="48">
        <f t="shared" si="120"/>
        <v>2.5889205494802034</v>
      </c>
      <c r="AD144" s="48">
        <f t="shared" si="121"/>
        <v>0.006519450519797201</v>
      </c>
      <c r="AE144" s="45">
        <f t="shared" si="122"/>
        <v>4.091970707825103</v>
      </c>
      <c r="AF144" s="45">
        <f t="shared" si="123"/>
        <v>4.095440000000001</v>
      </c>
      <c r="AG144" s="45">
        <f t="shared" si="124"/>
        <v>-0.0034692921748975536</v>
      </c>
      <c r="AH144" s="40">
        <f t="shared" si="125"/>
        <v>-0.042373496318949565</v>
      </c>
      <c r="AI144" s="45">
        <f t="shared" si="126"/>
        <v>8.187410707825105</v>
      </c>
      <c r="AJ144" s="49">
        <f t="shared" si="127"/>
        <v>437.23448156112016</v>
      </c>
      <c r="AK144" s="49"/>
      <c r="AL144" s="50">
        <f t="shared" si="128"/>
        <v>416.6384323182622</v>
      </c>
      <c r="AM144" s="42">
        <f t="shared" si="129"/>
        <v>0.47875420671965163</v>
      </c>
      <c r="AN144" s="42">
        <f t="shared" si="130"/>
        <v>113.57432413610462</v>
      </c>
      <c r="AO144" s="42">
        <f t="shared" si="131"/>
        <v>56.9604407992981</v>
      </c>
      <c r="AP144" s="42">
        <f t="shared" si="143"/>
        <v>56.61388333680653</v>
      </c>
      <c r="AQ144" s="42">
        <f t="shared" si="133"/>
        <v>1.8594577170409652</v>
      </c>
      <c r="AR144" s="42">
        <f t="shared" si="134"/>
        <v>1.2201320789398025</v>
      </c>
      <c r="AS144" s="42">
        <f t="shared" si="135"/>
        <v>233.08045525553374</v>
      </c>
      <c r="AT144" s="42">
        <f t="shared" si="136"/>
        <v>231.858762372891</v>
      </c>
    </row>
    <row r="145" spans="1:46" s="39" customFormat="1" ht="12.75">
      <c r="A145" s="51" t="s">
        <v>72</v>
      </c>
      <c r="C145" s="47">
        <v>7.7</v>
      </c>
      <c r="D145" s="45">
        <v>23</v>
      </c>
      <c r="E145" s="45">
        <v>0.5</v>
      </c>
      <c r="F145" s="45">
        <f t="shared" si="107"/>
        <v>2.4</v>
      </c>
      <c r="G145" s="45">
        <f t="shared" si="141"/>
        <v>60</v>
      </c>
      <c r="J145" s="45">
        <v>35.5</v>
      </c>
      <c r="K145" s="45">
        <v>0</v>
      </c>
      <c r="L145" s="45">
        <v>0</v>
      </c>
      <c r="M145" s="45">
        <f t="shared" si="106"/>
        <v>24</v>
      </c>
      <c r="N145" s="45">
        <f t="shared" si="137"/>
        <v>164.50047295247583</v>
      </c>
      <c r="O145" s="45">
        <f t="shared" si="138"/>
        <v>0.40745611231888546</v>
      </c>
      <c r="P145" s="45">
        <f t="shared" si="139"/>
        <v>164.91472000000005</v>
      </c>
      <c r="Q145" s="47">
        <f t="shared" si="142"/>
        <v>2.7035200000000006</v>
      </c>
      <c r="R145" s="40">
        <f t="shared" si="140"/>
        <v>173.15248276173767</v>
      </c>
      <c r="S145" s="48">
        <f t="shared" si="110"/>
        <v>0.9956709956709956</v>
      </c>
      <c r="T145" s="48">
        <f t="shared" si="111"/>
        <v>0.01278772378516624</v>
      </c>
      <c r="U145" s="48">
        <f t="shared" si="112"/>
        <v>0.19753086419753085</v>
      </c>
      <c r="V145" s="48">
        <f t="shared" si="113"/>
        <v>2.9940119760479043</v>
      </c>
      <c r="W145" s="48">
        <f t="shared" si="114"/>
        <v>0</v>
      </c>
      <c r="X145" s="48">
        <f t="shared" si="115"/>
        <v>0</v>
      </c>
      <c r="Y145" s="48">
        <f t="shared" si="116"/>
        <v>1</v>
      </c>
      <c r="Z145" s="48">
        <f t="shared" si="117"/>
        <v>0</v>
      </c>
      <c r="AA145" s="48">
        <f t="shared" si="118"/>
        <v>0</v>
      </c>
      <c r="AB145" s="48">
        <f t="shared" si="119"/>
        <v>0.5</v>
      </c>
      <c r="AC145" s="48">
        <f t="shared" si="120"/>
        <v>2.6967290647946855</v>
      </c>
      <c r="AD145" s="48">
        <f t="shared" si="121"/>
        <v>0.006790935205314758</v>
      </c>
      <c r="AE145" s="45">
        <f t="shared" si="122"/>
        <v>4.200001559701597</v>
      </c>
      <c r="AF145" s="45">
        <f t="shared" si="123"/>
        <v>4.20352</v>
      </c>
      <c r="AG145" s="45">
        <f t="shared" si="124"/>
        <v>-0.0035184402984027585</v>
      </c>
      <c r="AH145" s="40">
        <f t="shared" si="125"/>
        <v>-0.04186864130003726</v>
      </c>
      <c r="AI145" s="45">
        <f t="shared" si="126"/>
        <v>8.403521559701598</v>
      </c>
      <c r="AJ145" s="49">
        <f t="shared" si="127"/>
        <v>447.59736676252174</v>
      </c>
      <c r="AK145" s="49"/>
      <c r="AL145" s="50">
        <f t="shared" si="128"/>
        <v>426.00846998824755</v>
      </c>
      <c r="AM145" s="42">
        <f t="shared" si="129"/>
        <v>0.4784546124269302</v>
      </c>
      <c r="AN145" s="42">
        <f t="shared" si="130"/>
        <v>113.31723623333829</v>
      </c>
      <c r="AO145" s="42">
        <f t="shared" si="131"/>
        <v>57.01322074320341</v>
      </c>
      <c r="AP145" s="42">
        <f t="shared" si="143"/>
        <v>56.30401549013489</v>
      </c>
      <c r="AQ145" s="42">
        <f t="shared" si="133"/>
        <v>1.8635658984253158</v>
      </c>
      <c r="AR145" s="42">
        <f t="shared" si="134"/>
        <v>1.2151836437877215</v>
      </c>
      <c r="AS145" s="42">
        <f t="shared" si="135"/>
        <v>239.4556160450658</v>
      </c>
      <c r="AT145" s="42">
        <f t="shared" si="136"/>
        <v>236.67505519309182</v>
      </c>
    </row>
    <row r="146" spans="1:46" s="39" customFormat="1" ht="12.75">
      <c r="A146" s="51" t="s">
        <v>73</v>
      </c>
      <c r="C146" s="47">
        <v>7.7</v>
      </c>
      <c r="D146" s="45">
        <v>23</v>
      </c>
      <c r="E146" s="45">
        <v>0.5</v>
      </c>
      <c r="F146" s="45">
        <f t="shared" si="107"/>
        <v>2.5</v>
      </c>
      <c r="G146" s="45">
        <f t="shared" si="141"/>
        <v>62</v>
      </c>
      <c r="J146" s="45">
        <v>35.5</v>
      </c>
      <c r="K146" s="45">
        <v>0</v>
      </c>
      <c r="L146" s="45">
        <v>0</v>
      </c>
      <c r="M146" s="45">
        <f t="shared" si="106"/>
        <v>24</v>
      </c>
      <c r="N146" s="45">
        <f t="shared" si="137"/>
        <v>171.0767923866593</v>
      </c>
      <c r="O146" s="45">
        <f t="shared" si="138"/>
        <v>0.4237451934499388</v>
      </c>
      <c r="P146" s="45">
        <f t="shared" si="139"/>
        <v>171.50760000000005</v>
      </c>
      <c r="Q146" s="47">
        <f t="shared" si="142"/>
        <v>2.8116000000000008</v>
      </c>
      <c r="R146" s="40">
        <f t="shared" si="140"/>
        <v>180.07468801151896</v>
      </c>
      <c r="S146" s="48">
        <f t="shared" si="110"/>
        <v>0.9956709956709956</v>
      </c>
      <c r="T146" s="48">
        <f t="shared" si="111"/>
        <v>0.01278772378516624</v>
      </c>
      <c r="U146" s="48">
        <f t="shared" si="112"/>
        <v>0.205761316872428</v>
      </c>
      <c r="V146" s="48">
        <f t="shared" si="113"/>
        <v>3.093812375249501</v>
      </c>
      <c r="W146" s="48">
        <f t="shared" si="114"/>
        <v>0</v>
      </c>
      <c r="X146" s="48">
        <f t="shared" si="115"/>
        <v>0</v>
      </c>
      <c r="Y146" s="48">
        <f t="shared" si="116"/>
        <v>1</v>
      </c>
      <c r="Z146" s="48">
        <f t="shared" si="117"/>
        <v>0</v>
      </c>
      <c r="AA146" s="48">
        <f t="shared" si="118"/>
        <v>0</v>
      </c>
      <c r="AB146" s="48">
        <f t="shared" si="119"/>
        <v>0.5</v>
      </c>
      <c r="AC146" s="48">
        <f t="shared" si="120"/>
        <v>2.8045375801091685</v>
      </c>
      <c r="AD146" s="48">
        <f t="shared" si="121"/>
        <v>0.007062419890832313</v>
      </c>
      <c r="AE146" s="45">
        <f t="shared" si="122"/>
        <v>4.308032411578091</v>
      </c>
      <c r="AF146" s="45">
        <f t="shared" si="123"/>
        <v>4.311600000000001</v>
      </c>
      <c r="AG146" s="45">
        <f t="shared" si="124"/>
        <v>-0.003567588421910628</v>
      </c>
      <c r="AH146" s="40">
        <f t="shared" si="125"/>
        <v>-0.04138910166422596</v>
      </c>
      <c r="AI146" s="45">
        <f t="shared" si="126"/>
        <v>8.619632411578092</v>
      </c>
      <c r="AJ146" s="49">
        <f t="shared" si="127"/>
        <v>457.96025196392344</v>
      </c>
      <c r="AK146" s="49"/>
      <c r="AL146" s="50">
        <f t="shared" si="128"/>
        <v>435.35801503060134</v>
      </c>
      <c r="AM146" s="42">
        <f t="shared" si="129"/>
        <v>0.47817026845023297</v>
      </c>
      <c r="AN146" s="42">
        <f t="shared" si="130"/>
        <v>113.07303632236744</v>
      </c>
      <c r="AO146" s="42">
        <f t="shared" si="131"/>
        <v>57.06335360289146</v>
      </c>
      <c r="AP146" s="42">
        <f t="shared" si="143"/>
        <v>56.009682719475975</v>
      </c>
      <c r="AQ146" s="42">
        <f t="shared" si="133"/>
        <v>1.867440728961284</v>
      </c>
      <c r="AR146" s="42">
        <f t="shared" si="134"/>
        <v>1.2104577476926968</v>
      </c>
      <c r="AS146" s="42">
        <f t="shared" si="135"/>
        <v>245.83077683459783</v>
      </c>
      <c r="AT146" s="42">
        <f t="shared" si="136"/>
        <v>241.49134801329268</v>
      </c>
    </row>
    <row r="147" spans="1:46" s="39" customFormat="1" ht="12.75">
      <c r="A147" s="51" t="s">
        <v>74</v>
      </c>
      <c r="C147" s="47">
        <v>7.7</v>
      </c>
      <c r="D147" s="45">
        <v>23</v>
      </c>
      <c r="E147" s="45">
        <v>0.5</v>
      </c>
      <c r="F147" s="45">
        <f t="shared" si="107"/>
        <v>2.6</v>
      </c>
      <c r="G147" s="45">
        <f t="shared" si="141"/>
        <v>64</v>
      </c>
      <c r="J147" s="45">
        <v>35.5</v>
      </c>
      <c r="K147" s="45">
        <v>0</v>
      </c>
      <c r="L147" s="45">
        <v>0</v>
      </c>
      <c r="M147" s="45">
        <f t="shared" si="106"/>
        <v>24</v>
      </c>
      <c r="N147" s="45">
        <f t="shared" si="137"/>
        <v>177.65311182084272</v>
      </c>
      <c r="O147" s="45">
        <f t="shared" si="138"/>
        <v>0.44003427458099204</v>
      </c>
      <c r="P147" s="45">
        <f t="shared" si="139"/>
        <v>178.10048000000006</v>
      </c>
      <c r="Q147" s="47">
        <f t="shared" si="142"/>
        <v>2.919680000000001</v>
      </c>
      <c r="R147" s="40">
        <f t="shared" si="140"/>
        <v>186.9968932613002</v>
      </c>
      <c r="S147" s="48">
        <f t="shared" si="110"/>
        <v>0.9956709956709956</v>
      </c>
      <c r="T147" s="48">
        <f t="shared" si="111"/>
        <v>0.01278772378516624</v>
      </c>
      <c r="U147" s="48">
        <f t="shared" si="112"/>
        <v>0.2139917695473251</v>
      </c>
      <c r="V147" s="48">
        <f t="shared" si="113"/>
        <v>3.193612774451098</v>
      </c>
      <c r="W147" s="48">
        <f t="shared" si="114"/>
        <v>0</v>
      </c>
      <c r="X147" s="48">
        <f t="shared" si="115"/>
        <v>0</v>
      </c>
      <c r="Y147" s="48">
        <f t="shared" si="116"/>
        <v>1</v>
      </c>
      <c r="Z147" s="48">
        <f t="shared" si="117"/>
        <v>0</v>
      </c>
      <c r="AA147" s="48">
        <f t="shared" si="118"/>
        <v>0</v>
      </c>
      <c r="AB147" s="48">
        <f t="shared" si="119"/>
        <v>0.5</v>
      </c>
      <c r="AC147" s="48">
        <f t="shared" si="120"/>
        <v>2.912346095423651</v>
      </c>
      <c r="AD147" s="48">
        <f t="shared" si="121"/>
        <v>0.007333904576349868</v>
      </c>
      <c r="AE147" s="45">
        <f t="shared" si="122"/>
        <v>4.416063263454585</v>
      </c>
      <c r="AF147" s="45">
        <f t="shared" si="123"/>
        <v>4.4196800000000005</v>
      </c>
      <c r="AG147" s="45">
        <f t="shared" si="124"/>
        <v>-0.003616736545415833</v>
      </c>
      <c r="AH147" s="40">
        <f t="shared" si="125"/>
        <v>-0.04093301986687385</v>
      </c>
      <c r="AI147" s="45">
        <f t="shared" si="126"/>
        <v>8.835743263454585</v>
      </c>
      <c r="AJ147" s="49">
        <f t="shared" si="127"/>
        <v>468.32313716532514</v>
      </c>
      <c r="AK147" s="49"/>
      <c r="AL147" s="50">
        <f t="shared" si="128"/>
        <v>444.68725612048456</v>
      </c>
      <c r="AM147" s="42">
        <f t="shared" si="129"/>
        <v>0.4779000070251775</v>
      </c>
      <c r="AN147" s="42">
        <f t="shared" si="130"/>
        <v>112.84077897498439</v>
      </c>
      <c r="AO147" s="42">
        <f t="shared" si="131"/>
        <v>57.11103364647792</v>
      </c>
      <c r="AP147" s="42">
        <f t="shared" si="143"/>
        <v>55.72974532850647</v>
      </c>
      <c r="AQ147" s="42">
        <f t="shared" si="133"/>
        <v>1.8711015415946624</v>
      </c>
      <c r="AR147" s="42">
        <f t="shared" si="134"/>
        <v>1.2059397088792965</v>
      </c>
      <c r="AS147" s="42">
        <f t="shared" si="135"/>
        <v>252.2059376241299</v>
      </c>
      <c r="AT147" s="42">
        <f t="shared" si="136"/>
        <v>246.3076408334935</v>
      </c>
    </row>
    <row r="148" spans="1:46" s="39" customFormat="1" ht="12.75">
      <c r="A148" s="51" t="s">
        <v>75</v>
      </c>
      <c r="C148" s="47">
        <v>7.7</v>
      </c>
      <c r="D148" s="45">
        <v>23</v>
      </c>
      <c r="E148" s="45">
        <v>0.5</v>
      </c>
      <c r="F148" s="45">
        <f t="shared" si="107"/>
        <v>2.7</v>
      </c>
      <c r="G148" s="45">
        <f t="shared" si="141"/>
        <v>66</v>
      </c>
      <c r="J148" s="45">
        <v>35.5</v>
      </c>
      <c r="K148" s="45">
        <v>0</v>
      </c>
      <c r="L148" s="45">
        <v>0</v>
      </c>
      <c r="M148" s="45">
        <f t="shared" si="106"/>
        <v>24</v>
      </c>
      <c r="N148" s="45">
        <f t="shared" si="137"/>
        <v>184.22943125502616</v>
      </c>
      <c r="O148" s="45">
        <f t="shared" si="138"/>
        <v>0.4563233557120453</v>
      </c>
      <c r="P148" s="45">
        <f t="shared" si="139"/>
        <v>184.69336000000007</v>
      </c>
      <c r="Q148" s="47">
        <f t="shared" si="142"/>
        <v>3.027760000000001</v>
      </c>
      <c r="R148" s="40">
        <f t="shared" si="140"/>
        <v>193.91909851108144</v>
      </c>
      <c r="S148" s="48">
        <f t="shared" si="110"/>
        <v>0.9956709956709956</v>
      </c>
      <c r="T148" s="48">
        <f t="shared" si="111"/>
        <v>0.01278772378516624</v>
      </c>
      <c r="U148" s="48">
        <f t="shared" si="112"/>
        <v>0.22222222222222224</v>
      </c>
      <c r="V148" s="48">
        <f t="shared" si="113"/>
        <v>3.2934131736526946</v>
      </c>
      <c r="W148" s="48">
        <f t="shared" si="114"/>
        <v>0</v>
      </c>
      <c r="X148" s="48">
        <f t="shared" si="115"/>
        <v>0</v>
      </c>
      <c r="Y148" s="48">
        <f t="shared" si="116"/>
        <v>1</v>
      </c>
      <c r="Z148" s="48">
        <f t="shared" si="117"/>
        <v>0</v>
      </c>
      <c r="AA148" s="48">
        <f t="shared" si="118"/>
        <v>0</v>
      </c>
      <c r="AB148" s="48">
        <f t="shared" si="119"/>
        <v>0.5</v>
      </c>
      <c r="AC148" s="48">
        <f t="shared" si="120"/>
        <v>3.0201546107381336</v>
      </c>
      <c r="AD148" s="48">
        <f t="shared" si="121"/>
        <v>0.007605389261867422</v>
      </c>
      <c r="AE148" s="45">
        <f t="shared" si="122"/>
        <v>4.524094115331079</v>
      </c>
      <c r="AF148" s="45">
        <f t="shared" si="123"/>
        <v>4.527760000000001</v>
      </c>
      <c r="AG148" s="45">
        <f t="shared" si="124"/>
        <v>-0.003665884668921926</v>
      </c>
      <c r="AH148" s="40">
        <f t="shared" si="125"/>
        <v>-0.04049871575717328</v>
      </c>
      <c r="AI148" s="45">
        <f t="shared" si="126"/>
        <v>9.051854115331079</v>
      </c>
      <c r="AJ148" s="49">
        <f t="shared" si="127"/>
        <v>478.6860223667267</v>
      </c>
      <c r="AK148" s="49"/>
      <c r="AL148" s="50">
        <f t="shared" si="128"/>
        <v>453.99637915677295</v>
      </c>
      <c r="AM148" s="42">
        <f t="shared" si="129"/>
        <v>0.47764277834802027</v>
      </c>
      <c r="AN148" s="42">
        <f t="shared" si="130"/>
        <v>112.61960902785668</v>
      </c>
      <c r="AO148" s="42">
        <f t="shared" si="131"/>
        <v>57.15643658636369</v>
      </c>
      <c r="AP148" s="42">
        <f t="shared" si="143"/>
        <v>55.46317244149299</v>
      </c>
      <c r="AQ148" s="42">
        <f t="shared" si="133"/>
        <v>1.874565591037541</v>
      </c>
      <c r="AR148" s="42">
        <f t="shared" si="134"/>
        <v>1.2016161092676045</v>
      </c>
      <c r="AS148" s="42">
        <f t="shared" si="135"/>
        <v>258.58109841366195</v>
      </c>
      <c r="AT148" s="42">
        <f t="shared" si="136"/>
        <v>251.12393365369437</v>
      </c>
    </row>
    <row r="149" spans="1:46" s="39" customFormat="1" ht="12.75">
      <c r="A149" s="51" t="s">
        <v>76</v>
      </c>
      <c r="C149" s="47">
        <v>7.7</v>
      </c>
      <c r="D149" s="45">
        <v>23</v>
      </c>
      <c r="E149" s="45">
        <v>0.5</v>
      </c>
      <c r="F149" s="45">
        <f t="shared" si="107"/>
        <v>2.8</v>
      </c>
      <c r="G149" s="45">
        <f t="shared" si="141"/>
        <v>68</v>
      </c>
      <c r="J149" s="45">
        <v>35.5</v>
      </c>
      <c r="K149" s="45">
        <v>0</v>
      </c>
      <c r="L149" s="45">
        <v>0</v>
      </c>
      <c r="M149" s="45">
        <f t="shared" si="106"/>
        <v>24</v>
      </c>
      <c r="N149" s="45">
        <f t="shared" si="137"/>
        <v>190.8057506892096</v>
      </c>
      <c r="O149" s="45">
        <f t="shared" si="138"/>
        <v>0.4726124368430986</v>
      </c>
      <c r="P149" s="45">
        <f t="shared" si="139"/>
        <v>191.28624000000008</v>
      </c>
      <c r="Q149" s="47">
        <f t="shared" si="142"/>
        <v>3.1358400000000013</v>
      </c>
      <c r="R149" s="40">
        <f t="shared" si="140"/>
        <v>200.8413037608627</v>
      </c>
      <c r="S149" s="48">
        <f t="shared" si="110"/>
        <v>0.9956709956709956</v>
      </c>
      <c r="T149" s="48">
        <f t="shared" si="111"/>
        <v>0.01278772378516624</v>
      </c>
      <c r="U149" s="48">
        <f t="shared" si="112"/>
        <v>0.23045267489711932</v>
      </c>
      <c r="V149" s="48">
        <f t="shared" si="113"/>
        <v>3.3932135728542914</v>
      </c>
      <c r="W149" s="48">
        <f t="shared" si="114"/>
        <v>0</v>
      </c>
      <c r="X149" s="48">
        <f t="shared" si="115"/>
        <v>0</v>
      </c>
      <c r="Y149" s="48">
        <f t="shared" si="116"/>
        <v>1</v>
      </c>
      <c r="Z149" s="48">
        <f t="shared" si="117"/>
        <v>0</v>
      </c>
      <c r="AA149" s="48">
        <f t="shared" si="118"/>
        <v>0</v>
      </c>
      <c r="AB149" s="48">
        <f t="shared" si="119"/>
        <v>0.5</v>
      </c>
      <c r="AC149" s="48">
        <f t="shared" si="120"/>
        <v>3.127963126052616</v>
      </c>
      <c r="AD149" s="48">
        <f t="shared" si="121"/>
        <v>0.007876873947384977</v>
      </c>
      <c r="AE149" s="45">
        <f t="shared" si="122"/>
        <v>4.632124967207573</v>
      </c>
      <c r="AF149" s="45">
        <f t="shared" si="123"/>
        <v>4.635840000000002</v>
      </c>
      <c r="AG149" s="45">
        <f t="shared" si="124"/>
        <v>-0.0037150327924289073</v>
      </c>
      <c r="AH149" s="40">
        <f t="shared" si="125"/>
        <v>-0.04008466589562694</v>
      </c>
      <c r="AI149" s="45">
        <f t="shared" si="126"/>
        <v>9.267964967207575</v>
      </c>
      <c r="AJ149" s="49">
        <f t="shared" si="127"/>
        <v>489.0489075681284</v>
      </c>
      <c r="AK149" s="49"/>
      <c r="AL149" s="50">
        <f t="shared" si="128"/>
        <v>463.285567044769</v>
      </c>
      <c r="AM149" s="42">
        <f t="shared" si="129"/>
        <v>0.4773976359737966</v>
      </c>
      <c r="AN149" s="42">
        <f t="shared" si="130"/>
        <v>112.40875106109833</v>
      </c>
      <c r="AO149" s="42">
        <f t="shared" si="131"/>
        <v>57.19972174302543</v>
      </c>
      <c r="AP149" s="42">
        <f t="shared" si="143"/>
        <v>55.2090293180729</v>
      </c>
      <c r="AQ149" s="42">
        <f t="shared" si="133"/>
        <v>1.877848325714815</v>
      </c>
      <c r="AR149" s="42">
        <f t="shared" si="134"/>
        <v>1.1974746613756095</v>
      </c>
      <c r="AS149" s="42">
        <f t="shared" si="135"/>
        <v>264.95625920319395</v>
      </c>
      <c r="AT149" s="42">
        <f t="shared" si="136"/>
        <v>255.94022647389517</v>
      </c>
    </row>
    <row r="150" spans="1:46" s="39" customFormat="1" ht="12.75">
      <c r="A150" s="51" t="s">
        <v>77</v>
      </c>
      <c r="C150" s="47">
        <v>7.7</v>
      </c>
      <c r="D150" s="45">
        <v>23</v>
      </c>
      <c r="E150" s="45">
        <v>0.5</v>
      </c>
      <c r="F150" s="45">
        <f t="shared" si="107"/>
        <v>2.9</v>
      </c>
      <c r="G150" s="45">
        <f t="shared" si="141"/>
        <v>70</v>
      </c>
      <c r="J150" s="45">
        <v>35.5</v>
      </c>
      <c r="K150" s="45">
        <v>0</v>
      </c>
      <c r="L150" s="45">
        <v>0</v>
      </c>
      <c r="M150" s="45">
        <f t="shared" si="106"/>
        <v>24</v>
      </c>
      <c r="N150" s="45">
        <f t="shared" si="137"/>
        <v>197.38207012339302</v>
      </c>
      <c r="O150" s="45">
        <f t="shared" si="138"/>
        <v>0.4889015179741519</v>
      </c>
      <c r="P150" s="45">
        <f t="shared" si="139"/>
        <v>197.87912000000009</v>
      </c>
      <c r="Q150" s="47">
        <f t="shared" si="142"/>
        <v>3.2439200000000015</v>
      </c>
      <c r="R150" s="40">
        <f t="shared" si="140"/>
        <v>207.76350901064393</v>
      </c>
      <c r="S150" s="48">
        <f t="shared" si="110"/>
        <v>0.9956709956709956</v>
      </c>
      <c r="T150" s="48">
        <f t="shared" si="111"/>
        <v>0.01278772378516624</v>
      </c>
      <c r="U150" s="48">
        <f t="shared" si="112"/>
        <v>0.23868312757201646</v>
      </c>
      <c r="V150" s="48">
        <f t="shared" si="113"/>
        <v>3.4930139720558886</v>
      </c>
      <c r="W150" s="48">
        <f t="shared" si="114"/>
        <v>0</v>
      </c>
      <c r="X150" s="48">
        <f t="shared" si="115"/>
        <v>0</v>
      </c>
      <c r="Y150" s="48">
        <f t="shared" si="116"/>
        <v>1</v>
      </c>
      <c r="Z150" s="48">
        <f t="shared" si="117"/>
        <v>0</v>
      </c>
      <c r="AA150" s="48">
        <f t="shared" si="118"/>
        <v>0</v>
      </c>
      <c r="AB150" s="48">
        <f t="shared" si="119"/>
        <v>0.5</v>
      </c>
      <c r="AC150" s="48">
        <f t="shared" si="120"/>
        <v>3.2357716413670987</v>
      </c>
      <c r="AD150" s="48">
        <f t="shared" si="121"/>
        <v>0.008148358632902532</v>
      </c>
      <c r="AE150" s="45">
        <f t="shared" si="122"/>
        <v>4.740155819084067</v>
      </c>
      <c r="AF150" s="45">
        <f t="shared" si="123"/>
        <v>4.743920000000001</v>
      </c>
      <c r="AG150" s="45">
        <f t="shared" si="124"/>
        <v>-0.003764180915934112</v>
      </c>
      <c r="AH150" s="40">
        <f t="shared" si="125"/>
        <v>-0.03968948569938405</v>
      </c>
      <c r="AI150" s="45">
        <f t="shared" si="126"/>
        <v>9.484075819084069</v>
      </c>
      <c r="AJ150" s="49">
        <f t="shared" si="127"/>
        <v>499.4117927695301</v>
      </c>
      <c r="AK150" s="49"/>
      <c r="AL150" s="50">
        <f t="shared" si="128"/>
        <v>472.5549995427376</v>
      </c>
      <c r="AM150" s="42">
        <f t="shared" si="129"/>
        <v>0.47716372432861326</v>
      </c>
      <c r="AN150" s="42">
        <f t="shared" si="130"/>
        <v>112.20750031498957</v>
      </c>
      <c r="AO150" s="42">
        <f t="shared" si="131"/>
        <v>57.24103391292209</v>
      </c>
      <c r="AP150" s="42">
        <f t="shared" si="143"/>
        <v>54.966466402067475</v>
      </c>
      <c r="AQ150" s="42">
        <f t="shared" si="133"/>
        <v>1.8809636180971983</v>
      </c>
      <c r="AR150" s="42">
        <f t="shared" si="134"/>
        <v>1.1935040916966175</v>
      </c>
      <c r="AS150" s="42">
        <f t="shared" si="135"/>
        <v>271.33141999272607</v>
      </c>
      <c r="AT150" s="42">
        <f t="shared" si="136"/>
        <v>260.756519294096</v>
      </c>
    </row>
    <row r="151" spans="1:46" s="39" customFormat="1" ht="12.75">
      <c r="A151" s="51" t="s">
        <v>78</v>
      </c>
      <c r="C151" s="47">
        <v>7.7</v>
      </c>
      <c r="D151" s="45">
        <v>23</v>
      </c>
      <c r="E151" s="45">
        <v>0.5</v>
      </c>
      <c r="F151" s="45">
        <f t="shared" si="107"/>
        <v>3</v>
      </c>
      <c r="G151" s="45">
        <f t="shared" si="141"/>
        <v>72</v>
      </c>
      <c r="J151" s="45">
        <v>35.5</v>
      </c>
      <c r="K151" s="45">
        <v>0</v>
      </c>
      <c r="L151" s="45">
        <v>0</v>
      </c>
      <c r="M151" s="45">
        <f t="shared" si="106"/>
        <v>24</v>
      </c>
      <c r="N151" s="45">
        <f t="shared" si="137"/>
        <v>203.95838955757648</v>
      </c>
      <c r="O151" s="45">
        <f t="shared" si="138"/>
        <v>0.5051905991052051</v>
      </c>
      <c r="P151" s="45">
        <f t="shared" si="139"/>
        <v>204.4720000000001</v>
      </c>
      <c r="Q151" s="47">
        <f t="shared" si="142"/>
        <v>3.3520000000000016</v>
      </c>
      <c r="R151" s="40">
        <f t="shared" si="140"/>
        <v>214.68571426042521</v>
      </c>
      <c r="S151" s="48">
        <f t="shared" si="110"/>
        <v>0.9956709956709956</v>
      </c>
      <c r="T151" s="48">
        <f t="shared" si="111"/>
        <v>0.01278772378516624</v>
      </c>
      <c r="U151" s="48">
        <f t="shared" si="112"/>
        <v>0.24691358024691357</v>
      </c>
      <c r="V151" s="48">
        <f t="shared" si="113"/>
        <v>3.5928143712574854</v>
      </c>
      <c r="W151" s="48">
        <f t="shared" si="114"/>
        <v>0</v>
      </c>
      <c r="X151" s="48">
        <f t="shared" si="115"/>
        <v>0</v>
      </c>
      <c r="Y151" s="48">
        <f t="shared" si="116"/>
        <v>1</v>
      </c>
      <c r="Z151" s="48">
        <f t="shared" si="117"/>
        <v>0</v>
      </c>
      <c r="AA151" s="48">
        <f t="shared" si="118"/>
        <v>0</v>
      </c>
      <c r="AB151" s="48">
        <f t="shared" si="119"/>
        <v>0.5</v>
      </c>
      <c r="AC151" s="48">
        <f t="shared" si="120"/>
        <v>3.3435801566815817</v>
      </c>
      <c r="AD151" s="48">
        <f t="shared" si="121"/>
        <v>0.008419843318420085</v>
      </c>
      <c r="AE151" s="45">
        <f t="shared" si="122"/>
        <v>4.848186670960561</v>
      </c>
      <c r="AF151" s="45">
        <f t="shared" si="123"/>
        <v>4.852000000000002</v>
      </c>
      <c r="AG151" s="45">
        <f t="shared" si="124"/>
        <v>-0.0038133290394410935</v>
      </c>
      <c r="AH151" s="40">
        <f t="shared" si="125"/>
        <v>-0.03931191397436765</v>
      </c>
      <c r="AI151" s="45">
        <f t="shared" si="126"/>
        <v>9.700186670960562</v>
      </c>
      <c r="AJ151" s="49">
        <f t="shared" si="127"/>
        <v>509.7746779709317</v>
      </c>
      <c r="AK151" s="49"/>
      <c r="AL151" s="50">
        <f t="shared" si="128"/>
        <v>481.8048531590077</v>
      </c>
      <c r="AM151" s="42">
        <f t="shared" si="129"/>
        <v>0.47694026798924016</v>
      </c>
      <c r="AN151" s="42">
        <f t="shared" si="130"/>
        <v>112.015214820613</v>
      </c>
      <c r="AO151" s="42">
        <f t="shared" si="131"/>
        <v>57.280504986668895</v>
      </c>
      <c r="AP151" s="42">
        <f t="shared" si="143"/>
        <v>54.7347098339441</v>
      </c>
      <c r="AQ151" s="42">
        <f t="shared" si="133"/>
        <v>1.8839239606650233</v>
      </c>
      <c r="AR151" s="42">
        <f t="shared" si="134"/>
        <v>1.1896940382205876</v>
      </c>
      <c r="AS151" s="42">
        <f t="shared" si="135"/>
        <v>277.7065807822581</v>
      </c>
      <c r="AT151" s="42">
        <f t="shared" si="136"/>
        <v>265.5728121142969</v>
      </c>
    </row>
    <row r="152" spans="1:46" s="39" customFormat="1" ht="12.75">
      <c r="A152" s="51" t="s">
        <v>79</v>
      </c>
      <c r="C152" s="47">
        <v>7.7</v>
      </c>
      <c r="D152" s="45">
        <v>23</v>
      </c>
      <c r="E152" s="45">
        <v>0.5</v>
      </c>
      <c r="F152" s="45">
        <f t="shared" si="107"/>
        <v>3.1</v>
      </c>
      <c r="G152" s="45">
        <f t="shared" si="141"/>
        <v>74</v>
      </c>
      <c r="J152" s="45">
        <v>35.5</v>
      </c>
      <c r="K152" s="45">
        <v>0</v>
      </c>
      <c r="L152" s="45">
        <v>0</v>
      </c>
      <c r="M152" s="45">
        <f t="shared" si="106"/>
        <v>24</v>
      </c>
      <c r="N152" s="45">
        <f t="shared" si="137"/>
        <v>210.5347089917599</v>
      </c>
      <c r="O152" s="45">
        <f t="shared" si="138"/>
        <v>0.5214796802362585</v>
      </c>
      <c r="P152" s="45">
        <f t="shared" si="139"/>
        <v>211.0648800000001</v>
      </c>
      <c r="Q152" s="47">
        <f t="shared" si="142"/>
        <v>3.460080000000002</v>
      </c>
      <c r="R152" s="40">
        <f t="shared" si="140"/>
        <v>221.6079195102065</v>
      </c>
      <c r="S152" s="48">
        <f t="shared" si="110"/>
        <v>0.9956709956709956</v>
      </c>
      <c r="T152" s="48">
        <f t="shared" si="111"/>
        <v>0.01278772378516624</v>
      </c>
      <c r="U152" s="48">
        <f t="shared" si="112"/>
        <v>0.2551440329218107</v>
      </c>
      <c r="V152" s="48">
        <f t="shared" si="113"/>
        <v>3.692614770459082</v>
      </c>
      <c r="W152" s="48">
        <f t="shared" si="114"/>
        <v>0</v>
      </c>
      <c r="X152" s="48">
        <f t="shared" si="115"/>
        <v>0</v>
      </c>
      <c r="Y152" s="48">
        <f t="shared" si="116"/>
        <v>1</v>
      </c>
      <c r="Z152" s="48">
        <f t="shared" si="117"/>
        <v>0</v>
      </c>
      <c r="AA152" s="48">
        <f t="shared" si="118"/>
        <v>0</v>
      </c>
      <c r="AB152" s="48">
        <f t="shared" si="119"/>
        <v>0.5</v>
      </c>
      <c r="AC152" s="48">
        <f t="shared" si="120"/>
        <v>3.4513886719960643</v>
      </c>
      <c r="AD152" s="48">
        <f t="shared" si="121"/>
        <v>0.008691328003937642</v>
      </c>
      <c r="AE152" s="45">
        <f t="shared" si="122"/>
        <v>4.956217522837054</v>
      </c>
      <c r="AF152" s="45">
        <f t="shared" si="123"/>
        <v>4.960080000000001</v>
      </c>
      <c r="AG152" s="45">
        <f t="shared" si="124"/>
        <v>-0.0038624771629471866</v>
      </c>
      <c r="AH152" s="40">
        <f t="shared" si="125"/>
        <v>-0.03895079946978165</v>
      </c>
      <c r="AI152" s="45">
        <f t="shared" si="126"/>
        <v>9.916297522837056</v>
      </c>
      <c r="AJ152" s="49">
        <f t="shared" si="127"/>
        <v>520.1375631723334</v>
      </c>
      <c r="AK152" s="49"/>
      <c r="AL152" s="50">
        <f t="shared" si="128"/>
        <v>491.03530108914714</v>
      </c>
      <c r="AM152" s="42">
        <f t="shared" si="129"/>
        <v>0.4767265624461653</v>
      </c>
      <c r="AN152" s="42">
        <f t="shared" si="130"/>
        <v>111.83130855926086</v>
      </c>
      <c r="AO152" s="42">
        <f t="shared" si="131"/>
        <v>57.31825535558317</v>
      </c>
      <c r="AP152" s="42">
        <f t="shared" si="143"/>
        <v>54.51305320367769</v>
      </c>
      <c r="AQ152" s="42">
        <f t="shared" si="133"/>
        <v>1.8867406333407768</v>
      </c>
      <c r="AR152" s="42">
        <f t="shared" si="134"/>
        <v>1.186034960137785</v>
      </c>
      <c r="AS152" s="42">
        <f t="shared" si="135"/>
        <v>284.08174157179013</v>
      </c>
      <c r="AT152" s="42">
        <f t="shared" si="136"/>
        <v>270.3891049344977</v>
      </c>
    </row>
    <row r="153" spans="1:46" s="39" customFormat="1" ht="12.75">
      <c r="A153" s="51" t="s">
        <v>80</v>
      </c>
      <c r="C153" s="47">
        <v>7.7</v>
      </c>
      <c r="D153" s="45">
        <v>23</v>
      </c>
      <c r="E153" s="45">
        <v>0.5</v>
      </c>
      <c r="F153" s="45">
        <f t="shared" si="107"/>
        <v>3.2</v>
      </c>
      <c r="G153" s="45">
        <f t="shared" si="141"/>
        <v>76</v>
      </c>
      <c r="J153" s="45">
        <v>35.5</v>
      </c>
      <c r="K153" s="45">
        <v>0</v>
      </c>
      <c r="L153" s="45">
        <v>0</v>
      </c>
      <c r="M153" s="45">
        <f t="shared" si="106"/>
        <v>24</v>
      </c>
      <c r="N153" s="45">
        <f t="shared" si="137"/>
        <v>217.11102842594335</v>
      </c>
      <c r="O153" s="45">
        <f t="shared" si="138"/>
        <v>0.5377687613673118</v>
      </c>
      <c r="P153" s="45">
        <f t="shared" si="139"/>
        <v>217.6577600000001</v>
      </c>
      <c r="Q153" s="47">
        <f t="shared" si="142"/>
        <v>3.568160000000002</v>
      </c>
      <c r="R153" s="40">
        <f t="shared" si="140"/>
        <v>228.53012475998776</v>
      </c>
      <c r="S153" s="48">
        <f t="shared" si="110"/>
        <v>0.9956709956709956</v>
      </c>
      <c r="T153" s="48">
        <f t="shared" si="111"/>
        <v>0.01278772378516624</v>
      </c>
      <c r="U153" s="48">
        <f t="shared" si="112"/>
        <v>0.26337448559670784</v>
      </c>
      <c r="V153" s="48">
        <f t="shared" si="113"/>
        <v>3.792415169660679</v>
      </c>
      <c r="W153" s="48">
        <f t="shared" si="114"/>
        <v>0</v>
      </c>
      <c r="X153" s="48">
        <f t="shared" si="115"/>
        <v>0</v>
      </c>
      <c r="Y153" s="48">
        <f t="shared" si="116"/>
        <v>1</v>
      </c>
      <c r="Z153" s="48">
        <f t="shared" si="117"/>
        <v>0</v>
      </c>
      <c r="AA153" s="48">
        <f t="shared" si="118"/>
        <v>0</v>
      </c>
      <c r="AB153" s="48">
        <f t="shared" si="119"/>
        <v>0.5</v>
      </c>
      <c r="AC153" s="48">
        <f t="shared" si="120"/>
        <v>3.559197187310547</v>
      </c>
      <c r="AD153" s="48">
        <f t="shared" si="121"/>
        <v>0.008962812689455197</v>
      </c>
      <c r="AE153" s="45">
        <f t="shared" si="122"/>
        <v>5.064248374713548</v>
      </c>
      <c r="AF153" s="45">
        <f t="shared" si="123"/>
        <v>5.0681600000000016</v>
      </c>
      <c r="AG153" s="45">
        <f t="shared" si="124"/>
        <v>-0.00391162528645328</v>
      </c>
      <c r="AH153" s="40">
        <f t="shared" si="125"/>
        <v>-0.038605089153484345</v>
      </c>
      <c r="AI153" s="45">
        <f t="shared" si="126"/>
        <v>10.132408374713549</v>
      </c>
      <c r="AJ153" s="49">
        <f t="shared" si="127"/>
        <v>530.500448373735</v>
      </c>
      <c r="AK153" s="49"/>
      <c r="AL153" s="50">
        <f t="shared" si="128"/>
        <v>500.2465131848588</v>
      </c>
      <c r="AM153" s="42">
        <f t="shared" si="129"/>
        <v>0.4765219661168399</v>
      </c>
      <c r="AN153" s="42">
        <f t="shared" si="130"/>
        <v>111.65524549705069</v>
      </c>
      <c r="AO153" s="42">
        <f t="shared" si="131"/>
        <v>57.354395138202804</v>
      </c>
      <c r="AP153" s="42">
        <f t="shared" si="143"/>
        <v>54.300850358847875</v>
      </c>
      <c r="AQ153" s="42">
        <f t="shared" si="133"/>
        <v>1.889423847121899</v>
      </c>
      <c r="AR153" s="42">
        <f t="shared" si="134"/>
        <v>1.182518058068016</v>
      </c>
      <c r="AS153" s="42">
        <f t="shared" si="135"/>
        <v>290.4569023613222</v>
      </c>
      <c r="AT153" s="42">
        <f t="shared" si="136"/>
        <v>275.20539775469854</v>
      </c>
    </row>
    <row r="154" spans="1:46" s="39" customFormat="1" ht="12.75">
      <c r="A154" s="51" t="s">
        <v>81</v>
      </c>
      <c r="C154" s="47">
        <v>7.7</v>
      </c>
      <c r="D154" s="45">
        <v>23</v>
      </c>
      <c r="E154" s="45">
        <v>0.5</v>
      </c>
      <c r="F154" s="45">
        <f t="shared" si="107"/>
        <v>3.3</v>
      </c>
      <c r="G154" s="45">
        <f t="shared" si="141"/>
        <v>78</v>
      </c>
      <c r="J154" s="45">
        <v>35.5</v>
      </c>
      <c r="K154" s="45">
        <v>0</v>
      </c>
      <c r="L154" s="45">
        <v>0</v>
      </c>
      <c r="M154" s="45">
        <f t="shared" si="106"/>
        <v>24</v>
      </c>
      <c r="N154" s="45">
        <f t="shared" si="137"/>
        <v>223.6873478601268</v>
      </c>
      <c r="O154" s="45">
        <f t="shared" si="138"/>
        <v>0.5540578424983651</v>
      </c>
      <c r="P154" s="45">
        <f t="shared" si="139"/>
        <v>224.25064000000015</v>
      </c>
      <c r="Q154" s="47">
        <f t="shared" si="142"/>
        <v>3.676240000000002</v>
      </c>
      <c r="R154" s="40">
        <f t="shared" si="140"/>
        <v>235.452330009769</v>
      </c>
      <c r="S154" s="48">
        <f t="shared" si="110"/>
        <v>0.9956709956709956</v>
      </c>
      <c r="T154" s="48">
        <f t="shared" si="111"/>
        <v>0.01278772378516624</v>
      </c>
      <c r="U154" s="48">
        <f t="shared" si="112"/>
        <v>0.2716049382716049</v>
      </c>
      <c r="V154" s="48">
        <f t="shared" si="113"/>
        <v>3.8922155688622757</v>
      </c>
      <c r="W154" s="48">
        <f t="shared" si="114"/>
        <v>0</v>
      </c>
      <c r="X154" s="48">
        <f t="shared" si="115"/>
        <v>0</v>
      </c>
      <c r="Y154" s="48">
        <f t="shared" si="116"/>
        <v>1</v>
      </c>
      <c r="Z154" s="48">
        <f t="shared" si="117"/>
        <v>0</v>
      </c>
      <c r="AA154" s="48">
        <f t="shared" si="118"/>
        <v>0</v>
      </c>
      <c r="AB154" s="48">
        <f t="shared" si="119"/>
        <v>0.5</v>
      </c>
      <c r="AC154" s="48">
        <f t="shared" si="120"/>
        <v>3.66700570262503</v>
      </c>
      <c r="AD154" s="48">
        <f t="shared" si="121"/>
        <v>0.009234297374972751</v>
      </c>
      <c r="AE154" s="45">
        <f t="shared" si="122"/>
        <v>5.172279226590042</v>
      </c>
      <c r="AF154" s="45">
        <f t="shared" si="123"/>
        <v>5.176240000000003</v>
      </c>
      <c r="AG154" s="45">
        <f t="shared" si="124"/>
        <v>-0.003960773409960261</v>
      </c>
      <c r="AH154" s="40">
        <f t="shared" si="125"/>
        <v>-0.03827381795632399</v>
      </c>
      <c r="AI154" s="45">
        <f t="shared" si="126"/>
        <v>10.348519226590046</v>
      </c>
      <c r="AJ154" s="49">
        <f t="shared" si="127"/>
        <v>540.8633335751367</v>
      </c>
      <c r="AK154" s="49"/>
      <c r="AL154" s="50">
        <f t="shared" si="128"/>
        <v>509.43865594793897</v>
      </c>
      <c r="AM154" s="42">
        <f t="shared" si="129"/>
        <v>0.47632589341658593</v>
      </c>
      <c r="AN154" s="42">
        <f t="shared" si="130"/>
        <v>111.48653436683759</v>
      </c>
      <c r="AO154" s="42">
        <f t="shared" si="131"/>
        <v>57.389025253098794</v>
      </c>
      <c r="AP154" s="42">
        <f t="shared" si="143"/>
        <v>54.097509113738795</v>
      </c>
      <c r="AQ154" s="42">
        <f t="shared" si="133"/>
        <v>1.8919828677693533</v>
      </c>
      <c r="AR154" s="42">
        <f t="shared" si="134"/>
        <v>1.1791352034112932</v>
      </c>
      <c r="AS154" s="42">
        <f t="shared" si="135"/>
        <v>296.83206315085425</v>
      </c>
      <c r="AT154" s="42">
        <f t="shared" si="136"/>
        <v>280.0216905748994</v>
      </c>
    </row>
    <row r="155" spans="1:46" s="39" customFormat="1" ht="12.75">
      <c r="A155" s="51" t="s">
        <v>82</v>
      </c>
      <c r="C155" s="47">
        <v>7.7</v>
      </c>
      <c r="D155" s="45">
        <v>23</v>
      </c>
      <c r="E155" s="45">
        <v>0.5</v>
      </c>
      <c r="F155" s="45">
        <f t="shared" si="107"/>
        <v>3.4</v>
      </c>
      <c r="G155" s="45">
        <f t="shared" si="141"/>
        <v>80</v>
      </c>
      <c r="J155" s="45">
        <v>35.5</v>
      </c>
      <c r="K155" s="45">
        <v>0</v>
      </c>
      <c r="L155" s="45">
        <v>0</v>
      </c>
      <c r="M155" s="45">
        <f t="shared" si="106"/>
        <v>24</v>
      </c>
      <c r="N155" s="45">
        <f t="shared" si="137"/>
        <v>230.26366729431024</v>
      </c>
      <c r="O155" s="45">
        <f t="shared" si="138"/>
        <v>0.5703469236294184</v>
      </c>
      <c r="P155" s="45">
        <f t="shared" si="139"/>
        <v>230.84352000000015</v>
      </c>
      <c r="Q155" s="47">
        <f t="shared" si="142"/>
        <v>3.7843200000000023</v>
      </c>
      <c r="R155" s="40">
        <f t="shared" si="140"/>
        <v>242.37453525955027</v>
      </c>
      <c r="S155" s="48">
        <f t="shared" si="110"/>
        <v>0.9956709956709956</v>
      </c>
      <c r="T155" s="48">
        <f t="shared" si="111"/>
        <v>0.01278772378516624</v>
      </c>
      <c r="U155" s="48">
        <f t="shared" si="112"/>
        <v>0.27983539094650206</v>
      </c>
      <c r="V155" s="48">
        <f t="shared" si="113"/>
        <v>3.9920159680638725</v>
      </c>
      <c r="W155" s="48">
        <f t="shared" si="114"/>
        <v>0</v>
      </c>
      <c r="X155" s="48">
        <f t="shared" si="115"/>
        <v>0</v>
      </c>
      <c r="Y155" s="48">
        <f t="shared" si="116"/>
        <v>1</v>
      </c>
      <c r="Z155" s="48">
        <f t="shared" si="117"/>
        <v>0</v>
      </c>
      <c r="AA155" s="48">
        <f t="shared" si="118"/>
        <v>0</v>
      </c>
      <c r="AB155" s="48">
        <f t="shared" si="119"/>
        <v>0.5</v>
      </c>
      <c r="AC155" s="48">
        <f t="shared" si="120"/>
        <v>3.774814217939512</v>
      </c>
      <c r="AD155" s="48">
        <f t="shared" si="121"/>
        <v>0.009505782060490306</v>
      </c>
      <c r="AE155" s="45">
        <f t="shared" si="122"/>
        <v>5.280310078466536</v>
      </c>
      <c r="AF155" s="45">
        <f t="shared" si="123"/>
        <v>5.284320000000002</v>
      </c>
      <c r="AG155" s="45">
        <f t="shared" si="124"/>
        <v>-0.004009921533465466</v>
      </c>
      <c r="AH155" s="40">
        <f t="shared" si="125"/>
        <v>-0.03795609977521813</v>
      </c>
      <c r="AI155" s="45">
        <f t="shared" si="126"/>
        <v>10.56463007846654</v>
      </c>
      <c r="AJ155" s="49">
        <f t="shared" si="127"/>
        <v>551.2262187765383</v>
      </c>
      <c r="AK155" s="49"/>
      <c r="AL155" s="50">
        <f t="shared" si="128"/>
        <v>518.6118925439671</v>
      </c>
      <c r="AM155" s="42">
        <f t="shared" si="129"/>
        <v>0.4761378087276056</v>
      </c>
      <c r="AN155" s="42">
        <f t="shared" si="130"/>
        <v>111.32472409043847</v>
      </c>
      <c r="AO155" s="42">
        <f t="shared" si="131"/>
        <v>57.42223835999441</v>
      </c>
      <c r="AP155" s="42">
        <f t="shared" si="143"/>
        <v>53.902485730444056</v>
      </c>
      <c r="AQ155" s="42">
        <f t="shared" si="133"/>
        <v>1.8944261227098211</v>
      </c>
      <c r="AR155" s="42">
        <f t="shared" si="134"/>
        <v>1.1758788756258707</v>
      </c>
      <c r="AS155" s="42">
        <f t="shared" si="135"/>
        <v>303.20722394038626</v>
      </c>
      <c r="AT155" s="42">
        <f t="shared" si="136"/>
        <v>284.83798339510025</v>
      </c>
    </row>
    <row r="156" spans="1:46" s="39" customFormat="1" ht="12.75">
      <c r="A156" s="51" t="s">
        <v>83</v>
      </c>
      <c r="C156" s="47">
        <v>7.7</v>
      </c>
      <c r="D156" s="45">
        <v>23</v>
      </c>
      <c r="E156" s="45">
        <v>0.5</v>
      </c>
      <c r="F156" s="45">
        <f t="shared" si="107"/>
        <v>3.5</v>
      </c>
      <c r="G156" s="45">
        <f t="shared" si="141"/>
        <v>82</v>
      </c>
      <c r="J156" s="45">
        <v>35.5</v>
      </c>
      <c r="K156" s="45">
        <v>0</v>
      </c>
      <c r="L156" s="45">
        <v>0</v>
      </c>
      <c r="M156" s="45">
        <f t="shared" si="106"/>
        <v>24</v>
      </c>
      <c r="N156" s="45">
        <f t="shared" si="137"/>
        <v>236.83998672849367</v>
      </c>
      <c r="O156" s="45">
        <f t="shared" si="138"/>
        <v>0.5866360047604716</v>
      </c>
      <c r="P156" s="45">
        <f t="shared" si="139"/>
        <v>237.43640000000016</v>
      </c>
      <c r="Q156" s="47">
        <f t="shared" si="142"/>
        <v>3.8924000000000025</v>
      </c>
      <c r="R156" s="40">
        <f t="shared" si="140"/>
        <v>249.29674050933153</v>
      </c>
      <c r="S156" s="48">
        <f t="shared" si="110"/>
        <v>0.9956709956709956</v>
      </c>
      <c r="T156" s="48">
        <f t="shared" si="111"/>
        <v>0.01278772378516624</v>
      </c>
      <c r="U156" s="48">
        <f t="shared" si="112"/>
        <v>0.28806584362139914</v>
      </c>
      <c r="V156" s="48">
        <f t="shared" si="113"/>
        <v>4.091816367265469</v>
      </c>
      <c r="W156" s="48">
        <f t="shared" si="114"/>
        <v>0</v>
      </c>
      <c r="X156" s="48">
        <f t="shared" si="115"/>
        <v>0</v>
      </c>
      <c r="Y156" s="48">
        <f t="shared" si="116"/>
        <v>1</v>
      </c>
      <c r="Z156" s="48">
        <f t="shared" si="117"/>
        <v>0</v>
      </c>
      <c r="AA156" s="48">
        <f t="shared" si="118"/>
        <v>0</v>
      </c>
      <c r="AB156" s="48">
        <f t="shared" si="119"/>
        <v>0.5</v>
      </c>
      <c r="AC156" s="48">
        <f t="shared" si="120"/>
        <v>3.8826227332539944</v>
      </c>
      <c r="AD156" s="48">
        <f t="shared" si="121"/>
        <v>0.009777266746007861</v>
      </c>
      <c r="AE156" s="45">
        <f t="shared" si="122"/>
        <v>5.3883409303430305</v>
      </c>
      <c r="AF156" s="45">
        <f t="shared" si="123"/>
        <v>5.392400000000002</v>
      </c>
      <c r="AG156" s="45">
        <f t="shared" si="124"/>
        <v>-0.004059069656971559</v>
      </c>
      <c r="AH156" s="40">
        <f t="shared" si="125"/>
        <v>-0.03765111955846251</v>
      </c>
      <c r="AI156" s="45">
        <f t="shared" si="126"/>
        <v>10.780740930343033</v>
      </c>
      <c r="AJ156" s="49">
        <f t="shared" si="127"/>
        <v>561.5891039779401</v>
      </c>
      <c r="AK156" s="49"/>
      <c r="AL156" s="50">
        <f t="shared" si="128"/>
        <v>527.7663828314487</v>
      </c>
      <c r="AM156" s="42">
        <f t="shared" si="129"/>
        <v>0.4759572211333439</v>
      </c>
      <c r="AN156" s="42">
        <f t="shared" si="130"/>
        <v>111.16939975133732</v>
      </c>
      <c r="AO156" s="42">
        <f t="shared" si="131"/>
        <v>57.454119687673476</v>
      </c>
      <c r="AP156" s="42">
        <f t="shared" si="143"/>
        <v>53.71528006366385</v>
      </c>
      <c r="AQ156" s="42">
        <f t="shared" si="133"/>
        <v>1.8967612937505858</v>
      </c>
      <c r="AR156" s="42">
        <f t="shared" si="134"/>
        <v>1.1727421064149295</v>
      </c>
      <c r="AS156" s="42">
        <f t="shared" si="135"/>
        <v>309.5823847299183</v>
      </c>
      <c r="AT156" s="42">
        <f t="shared" si="136"/>
        <v>289.654276215301</v>
      </c>
    </row>
    <row r="157" spans="1:46" s="39" customFormat="1" ht="12.75">
      <c r="A157" s="51" t="s">
        <v>84</v>
      </c>
      <c r="C157" s="47">
        <v>7.7</v>
      </c>
      <c r="D157" s="45">
        <v>23</v>
      </c>
      <c r="E157" s="45">
        <v>0.5</v>
      </c>
      <c r="F157" s="45">
        <f t="shared" si="107"/>
        <v>3.6</v>
      </c>
      <c r="G157" s="45">
        <f t="shared" si="141"/>
        <v>84</v>
      </c>
      <c r="J157" s="45">
        <v>35.5</v>
      </c>
      <c r="K157" s="45">
        <v>0</v>
      </c>
      <c r="L157" s="45">
        <v>0</v>
      </c>
      <c r="M157" s="45">
        <f t="shared" si="106"/>
        <v>24</v>
      </c>
      <c r="N157" s="45">
        <f t="shared" si="137"/>
        <v>243.4163061626771</v>
      </c>
      <c r="O157" s="45">
        <f t="shared" si="138"/>
        <v>0.6029250858915249</v>
      </c>
      <c r="P157" s="45">
        <f t="shared" si="139"/>
        <v>244.02928000000014</v>
      </c>
      <c r="Q157" s="47">
        <f t="shared" si="142"/>
        <v>4.000480000000002</v>
      </c>
      <c r="R157" s="40">
        <f t="shared" si="140"/>
        <v>256.2189457591128</v>
      </c>
      <c r="S157" s="48">
        <f t="shared" si="110"/>
        <v>0.9956709956709956</v>
      </c>
      <c r="T157" s="48">
        <f t="shared" si="111"/>
        <v>0.01278772378516624</v>
      </c>
      <c r="U157" s="48">
        <f t="shared" si="112"/>
        <v>0.2962962962962963</v>
      </c>
      <c r="V157" s="48">
        <f t="shared" si="113"/>
        <v>4.191616766467066</v>
      </c>
      <c r="W157" s="48">
        <f t="shared" si="114"/>
        <v>0</v>
      </c>
      <c r="X157" s="48">
        <f t="shared" si="115"/>
        <v>0</v>
      </c>
      <c r="Y157" s="48">
        <f t="shared" si="116"/>
        <v>1</v>
      </c>
      <c r="Z157" s="48">
        <f t="shared" si="117"/>
        <v>0</v>
      </c>
      <c r="AA157" s="48">
        <f t="shared" si="118"/>
        <v>0</v>
      </c>
      <c r="AB157" s="48">
        <f t="shared" si="119"/>
        <v>0.5</v>
      </c>
      <c r="AC157" s="48">
        <f t="shared" si="120"/>
        <v>3.990431248568477</v>
      </c>
      <c r="AD157" s="48">
        <f t="shared" si="121"/>
        <v>0.010048751431525416</v>
      </c>
      <c r="AE157" s="45">
        <f t="shared" si="122"/>
        <v>5.496371782219524</v>
      </c>
      <c r="AF157" s="45">
        <f t="shared" si="123"/>
        <v>5.500480000000002</v>
      </c>
      <c r="AG157" s="45">
        <f t="shared" si="124"/>
        <v>-0.00410821778047854</v>
      </c>
      <c r="AH157" s="40">
        <f t="shared" si="125"/>
        <v>-0.03735812632412662</v>
      </c>
      <c r="AI157" s="45">
        <f t="shared" si="126"/>
        <v>10.996851782219526</v>
      </c>
      <c r="AJ157" s="49">
        <f t="shared" si="127"/>
        <v>571.9519891793417</v>
      </c>
      <c r="AK157" s="49"/>
      <c r="AL157" s="50">
        <f t="shared" si="128"/>
        <v>536.9022834029734</v>
      </c>
      <c r="AM157" s="42">
        <f t="shared" si="129"/>
        <v>0.4757836798073206</v>
      </c>
      <c r="AN157" s="42">
        <f t="shared" si="130"/>
        <v>111.0201790421606</v>
      </c>
      <c r="AO157" s="42">
        <f t="shared" si="131"/>
        <v>57.484747764253605</v>
      </c>
      <c r="AP157" s="42">
        <f t="shared" si="143"/>
        <v>53.535431277906994</v>
      </c>
      <c r="AQ157" s="42">
        <f t="shared" si="133"/>
        <v>1.8989953977562135</v>
      </c>
      <c r="AR157" s="42">
        <f t="shared" si="134"/>
        <v>1.1697184299501262</v>
      </c>
      <c r="AS157" s="42">
        <f t="shared" si="135"/>
        <v>315.9575455194504</v>
      </c>
      <c r="AT157" s="42">
        <f t="shared" si="136"/>
        <v>294.47056903550197</v>
      </c>
    </row>
    <row r="158" spans="1:46" s="39" customFormat="1" ht="12.75">
      <c r="A158" s="51" t="s">
        <v>85</v>
      </c>
      <c r="C158" s="47">
        <v>7.7</v>
      </c>
      <c r="D158" s="45">
        <v>23</v>
      </c>
      <c r="E158" s="45">
        <v>0.5</v>
      </c>
      <c r="F158" s="45">
        <f t="shared" si="107"/>
        <v>3.7</v>
      </c>
      <c r="G158" s="45">
        <f t="shared" si="141"/>
        <v>86</v>
      </c>
      <c r="J158" s="45">
        <v>35.5</v>
      </c>
      <c r="K158" s="45">
        <v>0</v>
      </c>
      <c r="L158" s="45">
        <v>0</v>
      </c>
      <c r="M158" s="45">
        <f t="shared" si="106"/>
        <v>24</v>
      </c>
      <c r="N158" s="45">
        <f t="shared" si="137"/>
        <v>249.99262559686053</v>
      </c>
      <c r="O158" s="45">
        <f t="shared" si="138"/>
        <v>0.6192141670225783</v>
      </c>
      <c r="P158" s="45">
        <f t="shared" si="139"/>
        <v>250.62216000000015</v>
      </c>
      <c r="Q158" s="47">
        <f t="shared" si="142"/>
        <v>4.108560000000002</v>
      </c>
      <c r="R158" s="40">
        <f t="shared" si="140"/>
        <v>263.141151008894</v>
      </c>
      <c r="S158" s="48">
        <f t="shared" si="110"/>
        <v>0.9956709956709956</v>
      </c>
      <c r="T158" s="48">
        <f t="shared" si="111"/>
        <v>0.01278772378516624</v>
      </c>
      <c r="U158" s="48">
        <f t="shared" si="112"/>
        <v>0.3045267489711934</v>
      </c>
      <c r="V158" s="48">
        <f t="shared" si="113"/>
        <v>4.291417165668663</v>
      </c>
      <c r="W158" s="48">
        <f t="shared" si="114"/>
        <v>0</v>
      </c>
      <c r="X158" s="48">
        <f t="shared" si="115"/>
        <v>0</v>
      </c>
      <c r="Y158" s="48">
        <f t="shared" si="116"/>
        <v>1</v>
      </c>
      <c r="Z158" s="48">
        <f t="shared" si="117"/>
        <v>0</v>
      </c>
      <c r="AA158" s="48">
        <f t="shared" si="118"/>
        <v>0</v>
      </c>
      <c r="AB158" s="48">
        <f t="shared" si="119"/>
        <v>0.5</v>
      </c>
      <c r="AC158" s="48">
        <f t="shared" si="120"/>
        <v>4.09823976388296</v>
      </c>
      <c r="AD158" s="48">
        <f t="shared" si="121"/>
        <v>0.01032023611704297</v>
      </c>
      <c r="AE158" s="45">
        <f t="shared" si="122"/>
        <v>5.604402634096018</v>
      </c>
      <c r="AF158" s="45">
        <f t="shared" si="123"/>
        <v>5.608560000000003</v>
      </c>
      <c r="AG158" s="45">
        <f t="shared" si="124"/>
        <v>-0.0041573659039855215</v>
      </c>
      <c r="AH158" s="40">
        <f t="shared" si="125"/>
        <v>-0.037076426985888054</v>
      </c>
      <c r="AI158" s="45">
        <f t="shared" si="126"/>
        <v>11.212962634096021</v>
      </c>
      <c r="AJ158" s="49">
        <f t="shared" si="127"/>
        <v>582.3148743807433</v>
      </c>
      <c r="AK158" s="49"/>
      <c r="AL158" s="50">
        <f t="shared" si="128"/>
        <v>546.019747635613</v>
      </c>
      <c r="AM158" s="42">
        <f t="shared" si="129"/>
        <v>0.47561676996348023</v>
      </c>
      <c r="AN158" s="42">
        <f t="shared" si="130"/>
        <v>110.87670912288269</v>
      </c>
      <c r="AO158" s="42">
        <f t="shared" si="131"/>
        <v>57.51419506299876</v>
      </c>
      <c r="AP158" s="42">
        <f t="shared" si="143"/>
        <v>53.36251405988392</v>
      </c>
      <c r="AQ158" s="42">
        <f t="shared" si="133"/>
        <v>1.9011348570719748</v>
      </c>
      <c r="AR158" s="42">
        <f t="shared" si="134"/>
        <v>1.1668018383837122</v>
      </c>
      <c r="AS158" s="42">
        <f t="shared" si="135"/>
        <v>322.33270630898244</v>
      </c>
      <c r="AT158" s="42">
        <f t="shared" si="136"/>
        <v>299.28686185570274</v>
      </c>
    </row>
    <row r="159" spans="1:46" s="39" customFormat="1" ht="12.75">
      <c r="A159" s="51" t="s">
        <v>86</v>
      </c>
      <c r="C159" s="47">
        <v>7.7</v>
      </c>
      <c r="D159" s="45">
        <v>23</v>
      </c>
      <c r="E159" s="45">
        <v>0.5</v>
      </c>
      <c r="F159" s="45">
        <f t="shared" si="107"/>
        <v>3.8</v>
      </c>
      <c r="G159" s="45">
        <f t="shared" si="141"/>
        <v>88</v>
      </c>
      <c r="J159" s="45">
        <v>35.5</v>
      </c>
      <c r="K159" s="45">
        <v>0</v>
      </c>
      <c r="L159" s="45">
        <v>0</v>
      </c>
      <c r="M159" s="45">
        <f t="shared" si="106"/>
        <v>24</v>
      </c>
      <c r="N159" s="45">
        <f t="shared" si="137"/>
        <v>256.568945031044</v>
      </c>
      <c r="O159" s="45">
        <f t="shared" si="138"/>
        <v>0.6355032481536315</v>
      </c>
      <c r="P159" s="45">
        <f t="shared" si="139"/>
        <v>257.21504000000016</v>
      </c>
      <c r="Q159" s="47">
        <f t="shared" si="142"/>
        <v>4.216640000000003</v>
      </c>
      <c r="R159" s="40">
        <f t="shared" si="140"/>
        <v>270.0633562586753</v>
      </c>
      <c r="S159" s="48">
        <f t="shared" si="110"/>
        <v>0.9956709956709956</v>
      </c>
      <c r="T159" s="48">
        <f t="shared" si="111"/>
        <v>0.01278772378516624</v>
      </c>
      <c r="U159" s="48">
        <f t="shared" si="112"/>
        <v>0.3127572016460905</v>
      </c>
      <c r="V159" s="48">
        <f t="shared" si="113"/>
        <v>4.39121756487026</v>
      </c>
      <c r="W159" s="48">
        <f t="shared" si="114"/>
        <v>0</v>
      </c>
      <c r="X159" s="48">
        <f t="shared" si="115"/>
        <v>0</v>
      </c>
      <c r="Y159" s="48">
        <f t="shared" si="116"/>
        <v>1</v>
      </c>
      <c r="Z159" s="48">
        <f t="shared" si="117"/>
        <v>0</v>
      </c>
      <c r="AA159" s="48">
        <f t="shared" si="118"/>
        <v>0</v>
      </c>
      <c r="AB159" s="48">
        <f t="shared" si="119"/>
        <v>0.5</v>
      </c>
      <c r="AC159" s="48">
        <f t="shared" si="120"/>
        <v>4.206048279197443</v>
      </c>
      <c r="AD159" s="48">
        <f t="shared" si="121"/>
        <v>0.010591720802560524</v>
      </c>
      <c r="AE159" s="45">
        <f t="shared" si="122"/>
        <v>5.712433485972513</v>
      </c>
      <c r="AF159" s="45">
        <f t="shared" si="123"/>
        <v>5.7166400000000035</v>
      </c>
      <c r="AG159" s="45">
        <f t="shared" si="124"/>
        <v>-0.0042065140274907264</v>
      </c>
      <c r="AH159" s="40">
        <f t="shared" si="125"/>
        <v>-0.036805380879330205</v>
      </c>
      <c r="AI159" s="45">
        <f t="shared" si="126"/>
        <v>11.429073485972516</v>
      </c>
      <c r="AJ159" s="49">
        <f t="shared" si="127"/>
        <v>592.677759582145</v>
      </c>
      <c r="AK159" s="49"/>
      <c r="AL159" s="50">
        <f t="shared" si="128"/>
        <v>555.118925748333</v>
      </c>
      <c r="AM159" s="42">
        <f t="shared" si="129"/>
        <v>0.47545610928984694</v>
      </c>
      <c r="AN159" s="42">
        <f t="shared" si="130"/>
        <v>110.73866383540772</v>
      </c>
      <c r="AO159" s="42">
        <f t="shared" si="131"/>
        <v>57.54252857485196</v>
      </c>
      <c r="AP159" s="42">
        <f t="shared" si="143"/>
        <v>53.196135260555764</v>
      </c>
      <c r="AQ159" s="42">
        <f t="shared" si="133"/>
        <v>1.9031855611827422</v>
      </c>
      <c r="AR159" s="42">
        <f t="shared" si="134"/>
        <v>1.1639867420050833</v>
      </c>
      <c r="AS159" s="42">
        <f t="shared" si="135"/>
        <v>328.7078670985145</v>
      </c>
      <c r="AT159" s="42">
        <f t="shared" si="136"/>
        <v>304.1031546759037</v>
      </c>
    </row>
    <row r="160" spans="1:46" s="39" customFormat="1" ht="12.75">
      <c r="A160" s="51" t="s">
        <v>87</v>
      </c>
      <c r="C160" s="47">
        <v>7.7</v>
      </c>
      <c r="D160" s="45">
        <v>23</v>
      </c>
      <c r="E160" s="45">
        <v>0.5</v>
      </c>
      <c r="F160" s="45">
        <f t="shared" si="107"/>
        <v>3.9</v>
      </c>
      <c r="G160" s="45">
        <f t="shared" si="141"/>
        <v>90</v>
      </c>
      <c r="J160" s="45">
        <v>35.5</v>
      </c>
      <c r="K160" s="45">
        <v>0</v>
      </c>
      <c r="L160" s="45">
        <v>0</v>
      </c>
      <c r="M160" s="45">
        <f t="shared" si="106"/>
        <v>24</v>
      </c>
      <c r="N160" s="45">
        <f t="shared" si="137"/>
        <v>263.14526446522746</v>
      </c>
      <c r="O160" s="45">
        <f t="shared" si="138"/>
        <v>0.6517923292846848</v>
      </c>
      <c r="P160" s="45">
        <f t="shared" si="139"/>
        <v>263.8079200000002</v>
      </c>
      <c r="Q160" s="47">
        <f t="shared" si="142"/>
        <v>4.324720000000003</v>
      </c>
      <c r="R160" s="40">
        <f t="shared" si="140"/>
        <v>276.98556150845656</v>
      </c>
      <c r="S160" s="48">
        <f t="shared" si="110"/>
        <v>0.9956709956709956</v>
      </c>
      <c r="T160" s="48">
        <f t="shared" si="111"/>
        <v>0.01278772378516624</v>
      </c>
      <c r="U160" s="48">
        <f t="shared" si="112"/>
        <v>0.32098765432098764</v>
      </c>
      <c r="V160" s="48">
        <f t="shared" si="113"/>
        <v>4.491017964071856</v>
      </c>
      <c r="W160" s="48">
        <f t="shared" si="114"/>
        <v>0</v>
      </c>
      <c r="X160" s="48">
        <f t="shared" si="115"/>
        <v>0</v>
      </c>
      <c r="Y160" s="48">
        <f t="shared" si="116"/>
        <v>1</v>
      </c>
      <c r="Z160" s="48">
        <f t="shared" si="117"/>
        <v>0</v>
      </c>
      <c r="AA160" s="48">
        <f t="shared" si="118"/>
        <v>0</v>
      </c>
      <c r="AB160" s="48">
        <f t="shared" si="119"/>
        <v>0.5</v>
      </c>
      <c r="AC160" s="48">
        <f t="shared" si="120"/>
        <v>4.313856794511926</v>
      </c>
      <c r="AD160" s="48">
        <f t="shared" si="121"/>
        <v>0.01086320548807808</v>
      </c>
      <c r="AE160" s="45">
        <f t="shared" si="122"/>
        <v>5.820464337849006</v>
      </c>
      <c r="AF160" s="45">
        <f t="shared" si="123"/>
        <v>5.824720000000004</v>
      </c>
      <c r="AG160" s="45">
        <f t="shared" si="124"/>
        <v>-0.004255662150997708</v>
      </c>
      <c r="AH160" s="40">
        <f t="shared" si="125"/>
        <v>-0.036544394897777756</v>
      </c>
      <c r="AI160" s="45">
        <f t="shared" si="126"/>
        <v>11.64518433784901</v>
      </c>
      <c r="AJ160" s="49">
        <f t="shared" si="127"/>
        <v>603.0406447835466</v>
      </c>
      <c r="AK160" s="49"/>
      <c r="AL160" s="50">
        <f t="shared" si="128"/>
        <v>564.1999648646059</v>
      </c>
      <c r="AM160" s="42">
        <f t="shared" si="129"/>
        <v>0.47530134479946</v>
      </c>
      <c r="AN160" s="42">
        <f t="shared" si="130"/>
        <v>110.60574122824062</v>
      </c>
      <c r="AO160" s="42">
        <f t="shared" si="131"/>
        <v>57.569810317208955</v>
      </c>
      <c r="AP160" s="42">
        <f t="shared" si="143"/>
        <v>53.035930911031656</v>
      </c>
      <c r="AQ160" s="42">
        <f t="shared" si="133"/>
        <v>1.9051529208540918</v>
      </c>
      <c r="AR160" s="42">
        <f t="shared" si="134"/>
        <v>1.161267933485761</v>
      </c>
      <c r="AS160" s="42">
        <f t="shared" si="135"/>
        <v>335.0830278880465</v>
      </c>
      <c r="AT160" s="42">
        <f t="shared" si="136"/>
        <v>308.9194474961045</v>
      </c>
    </row>
    <row r="161" spans="1:46" s="39" customFormat="1" ht="12.75">
      <c r="A161" s="51" t="s">
        <v>88</v>
      </c>
      <c r="C161" s="47">
        <v>7.7</v>
      </c>
      <c r="D161" s="45">
        <v>23</v>
      </c>
      <c r="E161" s="45">
        <v>0.5</v>
      </c>
      <c r="F161" s="45">
        <f t="shared" si="107"/>
        <v>4</v>
      </c>
      <c r="G161" s="45">
        <f t="shared" si="141"/>
        <v>92</v>
      </c>
      <c r="J161" s="45">
        <v>35.5</v>
      </c>
      <c r="K161" s="45">
        <v>0</v>
      </c>
      <c r="L161" s="45">
        <v>0</v>
      </c>
      <c r="M161" s="45">
        <f t="shared" si="106"/>
        <v>24</v>
      </c>
      <c r="N161" s="45">
        <f t="shared" si="137"/>
        <v>269.72158389941086</v>
      </c>
      <c r="O161" s="45">
        <f t="shared" si="138"/>
        <v>0.6680814104157381</v>
      </c>
      <c r="P161" s="45">
        <f t="shared" si="139"/>
        <v>270.4008000000002</v>
      </c>
      <c r="Q161" s="47">
        <f t="shared" si="142"/>
        <v>4.432800000000003</v>
      </c>
      <c r="R161" s="40">
        <f t="shared" si="140"/>
        <v>283.9077667582378</v>
      </c>
      <c r="S161" s="48">
        <f t="shared" si="110"/>
        <v>0.9956709956709956</v>
      </c>
      <c r="T161" s="48">
        <f t="shared" si="111"/>
        <v>0.01278772378516624</v>
      </c>
      <c r="U161" s="48">
        <f t="shared" si="112"/>
        <v>0.3292181069958848</v>
      </c>
      <c r="V161" s="48">
        <f t="shared" si="113"/>
        <v>4.590818363273454</v>
      </c>
      <c r="W161" s="48">
        <f t="shared" si="114"/>
        <v>0</v>
      </c>
      <c r="X161" s="48">
        <f t="shared" si="115"/>
        <v>0</v>
      </c>
      <c r="Y161" s="48">
        <f t="shared" si="116"/>
        <v>1</v>
      </c>
      <c r="Z161" s="48">
        <f t="shared" si="117"/>
        <v>0</v>
      </c>
      <c r="AA161" s="48">
        <f t="shared" si="118"/>
        <v>0</v>
      </c>
      <c r="AB161" s="48">
        <f t="shared" si="119"/>
        <v>0.5</v>
      </c>
      <c r="AC161" s="48">
        <f t="shared" si="120"/>
        <v>4.421665309826407</v>
      </c>
      <c r="AD161" s="48">
        <f t="shared" si="121"/>
        <v>0.011134690173595635</v>
      </c>
      <c r="AE161" s="45">
        <f t="shared" si="122"/>
        <v>5.9284951897255</v>
      </c>
      <c r="AF161" s="45">
        <f t="shared" si="123"/>
        <v>5.932800000000003</v>
      </c>
      <c r="AG161" s="45">
        <f t="shared" si="124"/>
        <v>-0.004304810274502913</v>
      </c>
      <c r="AH161" s="40">
        <f t="shared" si="125"/>
        <v>-0.03629291915972067</v>
      </c>
      <c r="AI161" s="45">
        <f t="shared" si="126"/>
        <v>11.861295189725503</v>
      </c>
      <c r="AJ161" s="49">
        <f t="shared" si="127"/>
        <v>613.4035299849482</v>
      </c>
      <c r="AK161" s="49"/>
      <c r="AL161" s="50">
        <f t="shared" si="128"/>
        <v>573.2630090787773</v>
      </c>
      <c r="AM161" s="42">
        <f t="shared" si="129"/>
        <v>0.4751521500426467</v>
      </c>
      <c r="AN161" s="42">
        <f t="shared" si="130"/>
        <v>110.47766135170721</v>
      </c>
      <c r="AO161" s="42">
        <f t="shared" si="131"/>
        <v>57.59609778706571</v>
      </c>
      <c r="AP161" s="42">
        <f t="shared" si="143"/>
        <v>52.8815635646415</v>
      </c>
      <c r="AQ161" s="42">
        <f t="shared" si="133"/>
        <v>1.9070419158036875</v>
      </c>
      <c r="AR161" s="42">
        <f t="shared" si="134"/>
        <v>1.1586405557315869</v>
      </c>
      <c r="AS161" s="42">
        <f t="shared" si="135"/>
        <v>341.45818867757856</v>
      </c>
      <c r="AT161" s="42">
        <f t="shared" si="136"/>
        <v>313.7357403163053</v>
      </c>
    </row>
    <row r="162" spans="1:46" s="39" customFormat="1" ht="12.75">
      <c r="A162" s="51" t="s">
        <v>89</v>
      </c>
      <c r="C162" s="47">
        <v>7.7</v>
      </c>
      <c r="D162" s="45">
        <v>23</v>
      </c>
      <c r="E162" s="45">
        <v>0.5</v>
      </c>
      <c r="F162" s="45">
        <f t="shared" si="107"/>
        <v>4.1</v>
      </c>
      <c r="G162" s="45">
        <f t="shared" si="141"/>
        <v>94</v>
      </c>
      <c r="J162" s="45">
        <v>35.5</v>
      </c>
      <c r="K162" s="45">
        <v>0</v>
      </c>
      <c r="L162" s="45">
        <v>0</v>
      </c>
      <c r="M162" s="45">
        <f t="shared" si="106"/>
        <v>24</v>
      </c>
      <c r="N162" s="45">
        <f t="shared" si="137"/>
        <v>276.2979033335943</v>
      </c>
      <c r="O162" s="45">
        <f t="shared" si="138"/>
        <v>0.6843704915467914</v>
      </c>
      <c r="P162" s="45">
        <f t="shared" si="139"/>
        <v>276.9936800000002</v>
      </c>
      <c r="Q162" s="47">
        <f t="shared" si="142"/>
        <v>4.540880000000003</v>
      </c>
      <c r="R162" s="40">
        <f t="shared" si="140"/>
        <v>290.8299720080191</v>
      </c>
      <c r="S162" s="48">
        <f t="shared" si="110"/>
        <v>0.9956709956709956</v>
      </c>
      <c r="T162" s="48">
        <f t="shared" si="111"/>
        <v>0.01278772378516624</v>
      </c>
      <c r="U162" s="48">
        <f t="shared" si="112"/>
        <v>0.33744855967078186</v>
      </c>
      <c r="V162" s="48">
        <f t="shared" si="113"/>
        <v>4.69061876247505</v>
      </c>
      <c r="W162" s="48">
        <f t="shared" si="114"/>
        <v>0</v>
      </c>
      <c r="X162" s="48">
        <f t="shared" si="115"/>
        <v>0</v>
      </c>
      <c r="Y162" s="48">
        <f t="shared" si="116"/>
        <v>1</v>
      </c>
      <c r="Z162" s="48">
        <f t="shared" si="117"/>
        <v>0</v>
      </c>
      <c r="AA162" s="48">
        <f t="shared" si="118"/>
        <v>0</v>
      </c>
      <c r="AB162" s="48">
        <f t="shared" si="119"/>
        <v>0.5</v>
      </c>
      <c r="AC162" s="48">
        <f t="shared" si="120"/>
        <v>4.52947382514089</v>
      </c>
      <c r="AD162" s="48">
        <f t="shared" si="121"/>
        <v>0.01140617485911319</v>
      </c>
      <c r="AE162" s="45">
        <f t="shared" si="122"/>
        <v>6.036526041601993</v>
      </c>
      <c r="AF162" s="45">
        <f t="shared" si="123"/>
        <v>6.040880000000003</v>
      </c>
      <c r="AG162" s="45">
        <f t="shared" si="124"/>
        <v>-0.004353958398009894</v>
      </c>
      <c r="AH162" s="40">
        <f t="shared" si="125"/>
        <v>-0.03605044314161659</v>
      </c>
      <c r="AI162" s="45">
        <f t="shared" si="126"/>
        <v>12.077406041601996</v>
      </c>
      <c r="AJ162" s="49">
        <f t="shared" si="127"/>
        <v>623.76641518635</v>
      </c>
      <c r="AK162" s="49"/>
      <c r="AL162" s="50">
        <f t="shared" si="128"/>
        <v>582.308199525008</v>
      </c>
      <c r="AM162" s="42">
        <f t="shared" si="129"/>
        <v>0.47500822263309905</v>
      </c>
      <c r="AN162" s="42">
        <f t="shared" si="130"/>
        <v>110.3541642898414</v>
      </c>
      <c r="AO162" s="42">
        <f t="shared" si="131"/>
        <v>57.62144436550819</v>
      </c>
      <c r="AP162" s="42">
        <f t="shared" si="143"/>
        <v>52.73271992433321</v>
      </c>
      <c r="AQ162" s="42">
        <f t="shared" si="133"/>
        <v>1.908857136787305</v>
      </c>
      <c r="AR162" s="42">
        <f t="shared" si="134"/>
        <v>1.1561000729245803</v>
      </c>
      <c r="AS162" s="42">
        <f t="shared" si="135"/>
        <v>347.8333494671106</v>
      </c>
      <c r="AT162" s="42">
        <f t="shared" si="136"/>
        <v>318.55203313650617</v>
      </c>
    </row>
    <row r="163" spans="1:46" s="39" customFormat="1" ht="12.75">
      <c r="A163" s="51" t="s">
        <v>90</v>
      </c>
      <c r="C163" s="47">
        <v>7.7</v>
      </c>
      <c r="D163" s="45">
        <v>23</v>
      </c>
      <c r="E163" s="45">
        <v>0.5</v>
      </c>
      <c r="F163" s="45">
        <f t="shared" si="107"/>
        <v>4.2</v>
      </c>
      <c r="G163" s="45">
        <f t="shared" si="141"/>
        <v>96</v>
      </c>
      <c r="J163" s="45">
        <v>35.5</v>
      </c>
      <c r="K163" s="45">
        <v>0</v>
      </c>
      <c r="L163" s="45">
        <v>0</v>
      </c>
      <c r="M163" s="45">
        <f t="shared" si="106"/>
        <v>24</v>
      </c>
      <c r="N163" s="45">
        <f t="shared" si="137"/>
        <v>282.8742227677777</v>
      </c>
      <c r="O163" s="45">
        <f t="shared" si="138"/>
        <v>0.7006595726778447</v>
      </c>
      <c r="P163" s="45">
        <f t="shared" si="139"/>
        <v>283.5865600000002</v>
      </c>
      <c r="Q163" s="47">
        <f t="shared" si="142"/>
        <v>4.648960000000003</v>
      </c>
      <c r="R163" s="40">
        <f t="shared" si="140"/>
        <v>297.7521772578003</v>
      </c>
      <c r="S163" s="48">
        <f t="shared" si="110"/>
        <v>0.9956709956709956</v>
      </c>
      <c r="T163" s="48">
        <f t="shared" si="111"/>
        <v>0.01278772378516624</v>
      </c>
      <c r="U163" s="48">
        <f t="shared" si="112"/>
        <v>0.345679012345679</v>
      </c>
      <c r="V163" s="48">
        <f t="shared" si="113"/>
        <v>4.790419161676647</v>
      </c>
      <c r="W163" s="48">
        <f t="shared" si="114"/>
        <v>0</v>
      </c>
      <c r="X163" s="48">
        <f t="shared" si="115"/>
        <v>0</v>
      </c>
      <c r="Y163" s="48">
        <f t="shared" si="116"/>
        <v>1</v>
      </c>
      <c r="Z163" s="48">
        <f t="shared" si="117"/>
        <v>0</v>
      </c>
      <c r="AA163" s="48">
        <f t="shared" si="118"/>
        <v>0</v>
      </c>
      <c r="AB163" s="48">
        <f t="shared" si="119"/>
        <v>0.5</v>
      </c>
      <c r="AC163" s="48">
        <f t="shared" si="120"/>
        <v>4.637282340455372</v>
      </c>
      <c r="AD163" s="48">
        <f t="shared" si="121"/>
        <v>0.011677659544630745</v>
      </c>
      <c r="AE163" s="45">
        <f t="shared" si="122"/>
        <v>6.144556893478488</v>
      </c>
      <c r="AF163" s="45">
        <f t="shared" si="123"/>
        <v>6.148960000000003</v>
      </c>
      <c r="AG163" s="45">
        <f t="shared" si="124"/>
        <v>-0.004403106521515099</v>
      </c>
      <c r="AH163" s="40">
        <f t="shared" si="125"/>
        <v>-0.03581649221835677</v>
      </c>
      <c r="AI163" s="45">
        <f t="shared" si="126"/>
        <v>12.293516893478492</v>
      </c>
      <c r="AJ163" s="49">
        <f t="shared" si="127"/>
        <v>634.1293003877515</v>
      </c>
      <c r="AK163" s="49"/>
      <c r="AL163" s="50">
        <f t="shared" si="128"/>
        <v>591.3356744478486</v>
      </c>
      <c r="AM163" s="42">
        <f t="shared" si="129"/>
        <v>0.4748692820472209</v>
      </c>
      <c r="AN163" s="42">
        <f t="shared" si="130"/>
        <v>110.23500839982157</v>
      </c>
      <c r="AO163" s="42">
        <f t="shared" si="131"/>
        <v>57.6458996795328</v>
      </c>
      <c r="AP163" s="42">
        <f t="shared" si="143"/>
        <v>52.589108720288756</v>
      </c>
      <c r="AQ163" s="42">
        <f t="shared" si="133"/>
        <v>1.9106028228483383</v>
      </c>
      <c r="AR163" s="42">
        <f t="shared" si="134"/>
        <v>1.1536422443912413</v>
      </c>
      <c r="AS163" s="42">
        <f t="shared" si="135"/>
        <v>354.2085102566427</v>
      </c>
      <c r="AT163" s="42">
        <f t="shared" si="136"/>
        <v>323.36832595670694</v>
      </c>
    </row>
    <row r="164" spans="1:46" s="39" customFormat="1" ht="12.75">
      <c r="A164" s="51" t="s">
        <v>91</v>
      </c>
      <c r="C164" s="47">
        <v>7.7</v>
      </c>
      <c r="D164" s="45">
        <v>23</v>
      </c>
      <c r="E164" s="45">
        <v>0.5</v>
      </c>
      <c r="F164" s="45">
        <f t="shared" si="107"/>
        <v>4.3</v>
      </c>
      <c r="G164" s="45">
        <f t="shared" si="141"/>
        <v>98</v>
      </c>
      <c r="J164" s="45">
        <v>35.5</v>
      </c>
      <c r="K164" s="45">
        <v>0</v>
      </c>
      <c r="L164" s="45">
        <v>0</v>
      </c>
      <c r="M164" s="45">
        <f t="shared" si="106"/>
        <v>24</v>
      </c>
      <c r="N164" s="45">
        <f t="shared" si="137"/>
        <v>289.4505422019612</v>
      </c>
      <c r="O164" s="45">
        <f t="shared" si="138"/>
        <v>0.7169486538088979</v>
      </c>
      <c r="P164" s="45">
        <f t="shared" si="139"/>
        <v>290.1794400000002</v>
      </c>
      <c r="Q164" s="47">
        <f t="shared" si="142"/>
        <v>4.7570400000000035</v>
      </c>
      <c r="R164" s="40">
        <f t="shared" si="140"/>
        <v>304.67438250758164</v>
      </c>
      <c r="S164" s="48">
        <f t="shared" si="110"/>
        <v>0.9956709956709956</v>
      </c>
      <c r="T164" s="48">
        <f t="shared" si="111"/>
        <v>0.01278772378516624</v>
      </c>
      <c r="U164" s="48">
        <f t="shared" si="112"/>
        <v>0.35390946502057613</v>
      </c>
      <c r="V164" s="48">
        <f t="shared" si="113"/>
        <v>4.8902195608782435</v>
      </c>
      <c r="W164" s="48">
        <f t="shared" si="114"/>
        <v>0</v>
      </c>
      <c r="X164" s="48">
        <f t="shared" si="115"/>
        <v>0</v>
      </c>
      <c r="Y164" s="48">
        <f t="shared" si="116"/>
        <v>1</v>
      </c>
      <c r="Z164" s="48">
        <f t="shared" si="117"/>
        <v>0</v>
      </c>
      <c r="AA164" s="48">
        <f t="shared" si="118"/>
        <v>0</v>
      </c>
      <c r="AB164" s="48">
        <f t="shared" si="119"/>
        <v>0.5</v>
      </c>
      <c r="AC164" s="48">
        <f t="shared" si="120"/>
        <v>4.745090855769855</v>
      </c>
      <c r="AD164" s="48">
        <f t="shared" si="121"/>
        <v>0.0119491442301483</v>
      </c>
      <c r="AE164" s="45">
        <f t="shared" si="122"/>
        <v>6.252587745354981</v>
      </c>
      <c r="AF164" s="45">
        <f t="shared" si="123"/>
        <v>6.2570400000000035</v>
      </c>
      <c r="AG164" s="45">
        <f t="shared" si="124"/>
        <v>-0.00445225464502208</v>
      </c>
      <c r="AH164" s="40">
        <f t="shared" si="125"/>
        <v>-0.03559062456255159</v>
      </c>
      <c r="AI164" s="45">
        <f t="shared" si="126"/>
        <v>12.509627745354985</v>
      </c>
      <c r="AJ164" s="49">
        <f t="shared" si="127"/>
        <v>644.4921855891533</v>
      </c>
      <c r="AK164" s="49"/>
      <c r="AL164" s="50">
        <f t="shared" si="128"/>
        <v>600.345569273683</v>
      </c>
      <c r="AM164" s="42">
        <f t="shared" si="129"/>
        <v>0.4747350676620858</v>
      </c>
      <c r="AN164" s="42">
        <f t="shared" si="130"/>
        <v>110.11996873386263</v>
      </c>
      <c r="AO164" s="42">
        <f t="shared" si="131"/>
        <v>57.669509926358195</v>
      </c>
      <c r="AP164" s="42">
        <f t="shared" si="143"/>
        <v>52.45045880750445</v>
      </c>
      <c r="AQ164" s="42">
        <f t="shared" si="133"/>
        <v>1.9122828943670513</v>
      </c>
      <c r="AR164" s="42">
        <f t="shared" si="134"/>
        <v>1.1512631009806038</v>
      </c>
      <c r="AS164" s="42">
        <f t="shared" si="135"/>
        <v>360.5836710461747</v>
      </c>
      <c r="AT164" s="42">
        <f t="shared" si="136"/>
        <v>328.1846187769078</v>
      </c>
    </row>
    <row r="165" spans="1:46" s="39" customFormat="1" ht="12.75">
      <c r="A165" s="51" t="s">
        <v>92</v>
      </c>
      <c r="C165" s="47">
        <v>7.7</v>
      </c>
      <c r="D165" s="45">
        <v>23</v>
      </c>
      <c r="E165" s="45">
        <v>0.5</v>
      </c>
      <c r="F165" s="45">
        <f t="shared" si="107"/>
        <v>4.4</v>
      </c>
      <c r="G165" s="45">
        <f t="shared" si="141"/>
        <v>100</v>
      </c>
      <c r="J165" s="45">
        <v>35.5</v>
      </c>
      <c r="K165" s="45">
        <v>0</v>
      </c>
      <c r="L165" s="45">
        <v>0</v>
      </c>
      <c r="M165" s="45">
        <f t="shared" si="106"/>
        <v>24</v>
      </c>
      <c r="N165" s="45">
        <f t="shared" si="137"/>
        <v>296.0268616361446</v>
      </c>
      <c r="O165" s="45">
        <f t="shared" si="138"/>
        <v>0.7332377349399513</v>
      </c>
      <c r="P165" s="45">
        <f t="shared" si="139"/>
        <v>296.7723200000002</v>
      </c>
      <c r="Q165" s="47">
        <f t="shared" si="142"/>
        <v>4.865120000000004</v>
      </c>
      <c r="R165" s="40">
        <f t="shared" si="140"/>
        <v>311.59658775736284</v>
      </c>
      <c r="S165" s="48">
        <f t="shared" si="110"/>
        <v>0.9956709956709956</v>
      </c>
      <c r="T165" s="48">
        <f t="shared" si="111"/>
        <v>0.01278772378516624</v>
      </c>
      <c r="U165" s="48">
        <f t="shared" si="112"/>
        <v>0.36213991769547327</v>
      </c>
      <c r="V165" s="48">
        <f t="shared" si="113"/>
        <v>4.990019960079841</v>
      </c>
      <c r="W165" s="48">
        <f t="shared" si="114"/>
        <v>0</v>
      </c>
      <c r="X165" s="48">
        <f t="shared" si="115"/>
        <v>0</v>
      </c>
      <c r="Y165" s="48">
        <f t="shared" si="116"/>
        <v>1</v>
      </c>
      <c r="Z165" s="48">
        <f t="shared" si="117"/>
        <v>0</v>
      </c>
      <c r="AA165" s="48">
        <f t="shared" si="118"/>
        <v>0</v>
      </c>
      <c r="AB165" s="48">
        <f t="shared" si="119"/>
        <v>0.5</v>
      </c>
      <c r="AC165" s="48">
        <f t="shared" si="120"/>
        <v>4.852899371084337</v>
      </c>
      <c r="AD165" s="48">
        <f t="shared" si="121"/>
        <v>0.012220628915665855</v>
      </c>
      <c r="AE165" s="45">
        <f t="shared" si="122"/>
        <v>6.3606185972314755</v>
      </c>
      <c r="AF165" s="45">
        <f t="shared" si="123"/>
        <v>6.365120000000003</v>
      </c>
      <c r="AG165" s="45">
        <f t="shared" si="124"/>
        <v>-0.004501402768527285</v>
      </c>
      <c r="AH165" s="40">
        <f t="shared" si="125"/>
        <v>-0.0353724283595341</v>
      </c>
      <c r="AI165" s="45">
        <f t="shared" si="126"/>
        <v>12.725738597231478</v>
      </c>
      <c r="AJ165" s="49">
        <f t="shared" si="127"/>
        <v>654.8550707905548</v>
      </c>
      <c r="AK165" s="49"/>
      <c r="AL165" s="50">
        <f t="shared" si="128"/>
        <v>609.3380166824359</v>
      </c>
      <c r="AM165" s="42">
        <f t="shared" si="129"/>
        <v>0.4746053370022833</v>
      </c>
      <c r="AN165" s="42">
        <f t="shared" si="130"/>
        <v>110.00883562187741</v>
      </c>
      <c r="AO165" s="42">
        <f t="shared" si="131"/>
        <v>57.69231816468753</v>
      </c>
      <c r="AP165" s="42">
        <f t="shared" si="143"/>
        <v>52.31651745718989</v>
      </c>
      <c r="AQ165" s="42">
        <f t="shared" si="133"/>
        <v>1.9139009824519388</v>
      </c>
      <c r="AR165" s="42">
        <f t="shared" si="134"/>
        <v>1.148958923675248</v>
      </c>
      <c r="AS165" s="42">
        <f t="shared" si="135"/>
        <v>366.95883183570675</v>
      </c>
      <c r="AT165" s="42">
        <f t="shared" si="136"/>
        <v>333.00091159710865</v>
      </c>
    </row>
    <row r="166" spans="1:46" s="39" customFormat="1" ht="12.75">
      <c r="A166" s="51" t="s">
        <v>93</v>
      </c>
      <c r="C166" s="47">
        <v>7.7</v>
      </c>
      <c r="D166" s="45">
        <v>23</v>
      </c>
      <c r="E166" s="45">
        <v>0.5</v>
      </c>
      <c r="F166" s="45">
        <f t="shared" si="107"/>
        <v>4.5</v>
      </c>
      <c r="G166" s="45">
        <f t="shared" si="141"/>
        <v>102</v>
      </c>
      <c r="J166" s="45">
        <v>35.5</v>
      </c>
      <c r="K166" s="45">
        <v>0</v>
      </c>
      <c r="L166" s="45">
        <v>0</v>
      </c>
      <c r="M166" s="45">
        <f t="shared" si="106"/>
        <v>24</v>
      </c>
      <c r="N166" s="45">
        <f t="shared" si="137"/>
        <v>302.60318107032805</v>
      </c>
      <c r="O166" s="45">
        <f t="shared" si="138"/>
        <v>0.7495268160710046</v>
      </c>
      <c r="P166" s="45">
        <f t="shared" si="139"/>
        <v>303.36520000000024</v>
      </c>
      <c r="Q166" s="47">
        <f t="shared" si="142"/>
        <v>4.973200000000004</v>
      </c>
      <c r="R166" s="40">
        <f t="shared" si="140"/>
        <v>318.5187930071441</v>
      </c>
      <c r="S166" s="48">
        <f t="shared" si="110"/>
        <v>0.9956709956709956</v>
      </c>
      <c r="T166" s="48">
        <f t="shared" si="111"/>
        <v>0.01278772378516624</v>
      </c>
      <c r="U166" s="48">
        <f t="shared" si="112"/>
        <v>0.37037037037037035</v>
      </c>
      <c r="V166" s="48">
        <f t="shared" si="113"/>
        <v>5.089820359281437</v>
      </c>
      <c r="W166" s="48">
        <f t="shared" si="114"/>
        <v>0</v>
      </c>
      <c r="X166" s="48">
        <f t="shared" si="115"/>
        <v>0</v>
      </c>
      <c r="Y166" s="48">
        <f t="shared" si="116"/>
        <v>1</v>
      </c>
      <c r="Z166" s="48">
        <f t="shared" si="117"/>
        <v>0</v>
      </c>
      <c r="AA166" s="48">
        <f t="shared" si="118"/>
        <v>0</v>
      </c>
      <c r="AB166" s="48">
        <f t="shared" si="119"/>
        <v>0.5</v>
      </c>
      <c r="AC166" s="48">
        <f t="shared" si="120"/>
        <v>4.96070788639882</v>
      </c>
      <c r="AD166" s="48">
        <f t="shared" si="121"/>
        <v>0.01249211360118341</v>
      </c>
      <c r="AE166" s="45">
        <f t="shared" si="122"/>
        <v>6.46864944910797</v>
      </c>
      <c r="AF166" s="45">
        <f t="shared" si="123"/>
        <v>6.473200000000004</v>
      </c>
      <c r="AG166" s="45">
        <f t="shared" si="124"/>
        <v>-0.004550550892034266</v>
      </c>
      <c r="AH166" s="40">
        <f t="shared" si="125"/>
        <v>-0.03516151930161664</v>
      </c>
      <c r="AI166" s="45">
        <f t="shared" si="126"/>
        <v>12.941849449107973</v>
      </c>
      <c r="AJ166" s="49">
        <f t="shared" si="127"/>
        <v>665.2179559919565</v>
      </c>
      <c r="AK166" s="49"/>
      <c r="AL166" s="50">
        <f t="shared" si="128"/>
        <v>618.3131466790542</v>
      </c>
      <c r="AM166" s="42">
        <f t="shared" si="129"/>
        <v>0.474479864170082</v>
      </c>
      <c r="AN166" s="42">
        <f t="shared" si="130"/>
        <v>109.90141339611876</v>
      </c>
      <c r="AO166" s="42">
        <f t="shared" si="131"/>
        <v>57.71436457678531</v>
      </c>
      <c r="AP166" s="42">
        <f t="shared" si="143"/>
        <v>52.187048819333455</v>
      </c>
      <c r="AQ166" s="42">
        <f t="shared" si="133"/>
        <v>1.9154604551369714</v>
      </c>
      <c r="AR166" s="42">
        <f t="shared" si="134"/>
        <v>1.1467262241928349</v>
      </c>
      <c r="AS166" s="42">
        <f t="shared" si="135"/>
        <v>373.3339926252388</v>
      </c>
      <c r="AT166" s="42">
        <f t="shared" si="136"/>
        <v>337.81720441730954</v>
      </c>
    </row>
    <row r="167" spans="1:46" s="39" customFormat="1" ht="12.75">
      <c r="A167" s="51" t="s">
        <v>94</v>
      </c>
      <c r="C167" s="47">
        <v>7.7</v>
      </c>
      <c r="D167" s="45">
        <v>23</v>
      </c>
      <c r="E167" s="45">
        <v>0.5</v>
      </c>
      <c r="F167" s="45">
        <f t="shared" si="107"/>
        <v>4.6</v>
      </c>
      <c r="G167" s="45">
        <f t="shared" si="141"/>
        <v>104</v>
      </c>
      <c r="J167" s="45">
        <v>35.5</v>
      </c>
      <c r="K167" s="45">
        <v>0</v>
      </c>
      <c r="L167" s="45">
        <v>0</v>
      </c>
      <c r="M167" s="45">
        <f t="shared" si="106"/>
        <v>24</v>
      </c>
      <c r="N167" s="45">
        <f t="shared" si="137"/>
        <v>309.17950050451145</v>
      </c>
      <c r="O167" s="45">
        <f t="shared" si="138"/>
        <v>0.7658158972020578</v>
      </c>
      <c r="P167" s="45">
        <f t="shared" si="139"/>
        <v>309.9580800000002</v>
      </c>
      <c r="Q167" s="47">
        <f t="shared" si="142"/>
        <v>5.081280000000004</v>
      </c>
      <c r="R167" s="40">
        <f t="shared" si="140"/>
        <v>325.44099825692535</v>
      </c>
      <c r="S167" s="48">
        <f t="shared" si="110"/>
        <v>0.9956709956709956</v>
      </c>
      <c r="T167" s="48">
        <f t="shared" si="111"/>
        <v>0.01278772378516624</v>
      </c>
      <c r="U167" s="48">
        <f t="shared" si="112"/>
        <v>0.37860082304526743</v>
      </c>
      <c r="V167" s="48">
        <f t="shared" si="113"/>
        <v>5.189620758483034</v>
      </c>
      <c r="W167" s="48">
        <f t="shared" si="114"/>
        <v>0</v>
      </c>
      <c r="X167" s="48">
        <f t="shared" si="115"/>
        <v>0</v>
      </c>
      <c r="Y167" s="48">
        <f t="shared" si="116"/>
        <v>1</v>
      </c>
      <c r="Z167" s="48">
        <f t="shared" si="117"/>
        <v>0</v>
      </c>
      <c r="AA167" s="48">
        <f t="shared" si="118"/>
        <v>0</v>
      </c>
      <c r="AB167" s="48">
        <f t="shared" si="119"/>
        <v>0.5</v>
      </c>
      <c r="AC167" s="48">
        <f t="shared" si="120"/>
        <v>5.068516401713302</v>
      </c>
      <c r="AD167" s="48">
        <f t="shared" si="121"/>
        <v>0.012763598286700963</v>
      </c>
      <c r="AE167" s="45">
        <f t="shared" si="122"/>
        <v>6.576680300984464</v>
      </c>
      <c r="AF167" s="45">
        <f t="shared" si="123"/>
        <v>6.581280000000003</v>
      </c>
      <c r="AG167" s="45">
        <f t="shared" si="124"/>
        <v>-0.004599699015539471</v>
      </c>
      <c r="AH167" s="40">
        <f t="shared" si="125"/>
        <v>-0.03495753832906249</v>
      </c>
      <c r="AI167" s="45">
        <f t="shared" si="126"/>
        <v>13.157960300984467</v>
      </c>
      <c r="AJ167" s="49">
        <f t="shared" si="127"/>
        <v>675.5808411933581</v>
      </c>
      <c r="AK167" s="49"/>
      <c r="AL167" s="50">
        <f t="shared" si="128"/>
        <v>627.2710866643798</v>
      </c>
      <c r="AM167" s="42">
        <f t="shared" si="129"/>
        <v>0.47435843843686243</v>
      </c>
      <c r="AN167" s="42">
        <f t="shared" si="130"/>
        <v>109.7975192414816</v>
      </c>
      <c r="AO167" s="42">
        <f t="shared" si="131"/>
        <v>57.73568670472429</v>
      </c>
      <c r="AP167" s="42">
        <f t="shared" si="143"/>
        <v>52.06183253675731</v>
      </c>
      <c r="AQ167" s="42">
        <f t="shared" si="133"/>
        <v>1.916964440782496</v>
      </c>
      <c r="AR167" s="42">
        <f t="shared" si="134"/>
        <v>1.1445617273653463</v>
      </c>
      <c r="AS167" s="42">
        <f t="shared" si="135"/>
        <v>379.7091534147708</v>
      </c>
      <c r="AT167" s="42">
        <f t="shared" si="136"/>
        <v>342.6334972375103</v>
      </c>
    </row>
    <row r="168" spans="1:46" s="39" customFormat="1" ht="12.75">
      <c r="A168" s="51" t="s">
        <v>95</v>
      </c>
      <c r="C168" s="47">
        <v>7.7</v>
      </c>
      <c r="D168" s="45">
        <v>23</v>
      </c>
      <c r="E168" s="45">
        <v>0.5</v>
      </c>
      <c r="F168" s="45">
        <f t="shared" si="107"/>
        <v>4.7</v>
      </c>
      <c r="G168" s="45">
        <f t="shared" si="141"/>
        <v>106</v>
      </c>
      <c r="J168" s="45">
        <v>35.5</v>
      </c>
      <c r="K168" s="45">
        <v>0</v>
      </c>
      <c r="L168" s="45">
        <v>0</v>
      </c>
      <c r="M168" s="45">
        <f t="shared" si="106"/>
        <v>24</v>
      </c>
      <c r="N168" s="45">
        <f t="shared" si="137"/>
        <v>315.7558199386949</v>
      </c>
      <c r="O168" s="45">
        <f t="shared" si="138"/>
        <v>0.7821049783331111</v>
      </c>
      <c r="P168" s="45">
        <f t="shared" si="139"/>
        <v>316.55096000000026</v>
      </c>
      <c r="Q168" s="47">
        <f t="shared" si="142"/>
        <v>5.189360000000004</v>
      </c>
      <c r="R168" s="40">
        <f t="shared" si="140"/>
        <v>332.3632035067066</v>
      </c>
      <c r="S168" s="48">
        <f t="shared" si="110"/>
        <v>0.9956709956709956</v>
      </c>
      <c r="T168" s="48">
        <f t="shared" si="111"/>
        <v>0.01278772378516624</v>
      </c>
      <c r="U168" s="48">
        <f t="shared" si="112"/>
        <v>0.3868312757201646</v>
      </c>
      <c r="V168" s="48">
        <f t="shared" si="113"/>
        <v>5.289421157684631</v>
      </c>
      <c r="W168" s="48">
        <f t="shared" si="114"/>
        <v>0</v>
      </c>
      <c r="X168" s="48">
        <f t="shared" si="115"/>
        <v>0</v>
      </c>
      <c r="Y168" s="48">
        <f t="shared" si="116"/>
        <v>1</v>
      </c>
      <c r="Z168" s="48">
        <f t="shared" si="117"/>
        <v>0</v>
      </c>
      <c r="AA168" s="48">
        <f t="shared" si="118"/>
        <v>0</v>
      </c>
      <c r="AB168" s="48">
        <f t="shared" si="119"/>
        <v>0.5</v>
      </c>
      <c r="AC168" s="48">
        <f t="shared" si="120"/>
        <v>5.176324917027785</v>
      </c>
      <c r="AD168" s="48">
        <f t="shared" si="121"/>
        <v>0.01303508297221852</v>
      </c>
      <c r="AE168" s="45">
        <f t="shared" si="122"/>
        <v>6.684711152860957</v>
      </c>
      <c r="AF168" s="45">
        <f t="shared" si="123"/>
        <v>6.689360000000004</v>
      </c>
      <c r="AG168" s="45">
        <f t="shared" si="124"/>
        <v>-0.004648847139047341</v>
      </c>
      <c r="AH168" s="40">
        <f t="shared" si="125"/>
        <v>-0.03476014959029784</v>
      </c>
      <c r="AI168" s="45">
        <f t="shared" si="126"/>
        <v>13.37407115286096</v>
      </c>
      <c r="AJ168" s="49">
        <f t="shared" si="127"/>
        <v>685.9437263947598</v>
      </c>
      <c r="AK168" s="49"/>
      <c r="AL168" s="50">
        <f t="shared" si="128"/>
        <v>636.2119615051085</v>
      </c>
      <c r="AM168" s="42">
        <f t="shared" si="129"/>
        <v>0.4742408629767494</v>
      </c>
      <c r="AN168" s="42">
        <f t="shared" si="130"/>
        <v>109.69698215725334</v>
      </c>
      <c r="AO168" s="42">
        <f t="shared" si="131"/>
        <v>57.75631966372467</v>
      </c>
      <c r="AP168" s="42">
        <f t="shared" si="143"/>
        <v>51.94066249352868</v>
      </c>
      <c r="AQ168" s="42">
        <f t="shared" si="133"/>
        <v>1.9184158490219436</v>
      </c>
      <c r="AR168" s="42">
        <f t="shared" si="134"/>
        <v>1.142462355108824</v>
      </c>
      <c r="AS168" s="42">
        <f t="shared" si="135"/>
        <v>386.08431420430287</v>
      </c>
      <c r="AT168" s="42">
        <f t="shared" si="136"/>
        <v>347.4497900577112</v>
      </c>
    </row>
    <row r="169" spans="1:46" s="39" customFormat="1" ht="12.75">
      <c r="A169" s="51" t="s">
        <v>96</v>
      </c>
      <c r="C169" s="47">
        <v>7.7</v>
      </c>
      <c r="D169" s="45">
        <v>23</v>
      </c>
      <c r="E169" s="45">
        <v>0.5</v>
      </c>
      <c r="F169" s="45">
        <f t="shared" si="107"/>
        <v>4.8</v>
      </c>
      <c r="G169" s="45">
        <f t="shared" si="141"/>
        <v>108</v>
      </c>
      <c r="J169" s="45">
        <v>35.5</v>
      </c>
      <c r="K169" s="45">
        <v>0</v>
      </c>
      <c r="L169" s="45">
        <v>0</v>
      </c>
      <c r="M169" s="45">
        <f t="shared" si="106"/>
        <v>24</v>
      </c>
      <c r="N169" s="45">
        <f t="shared" si="137"/>
        <v>322.3321393728783</v>
      </c>
      <c r="O169" s="45">
        <f t="shared" si="138"/>
        <v>0.7983940594641643</v>
      </c>
      <c r="P169" s="45">
        <f t="shared" si="139"/>
        <v>323.14384000000024</v>
      </c>
      <c r="Q169" s="47">
        <f t="shared" si="142"/>
        <v>5.297440000000004</v>
      </c>
      <c r="R169" s="40">
        <f t="shared" si="140"/>
        <v>339.2854087564878</v>
      </c>
      <c r="S169" s="48">
        <f t="shared" si="110"/>
        <v>0.9956709956709956</v>
      </c>
      <c r="T169" s="48">
        <f t="shared" si="111"/>
        <v>0.01278772378516624</v>
      </c>
      <c r="U169" s="48">
        <f t="shared" si="112"/>
        <v>0.3950617283950617</v>
      </c>
      <c r="V169" s="48">
        <f t="shared" si="113"/>
        <v>5.389221556886228</v>
      </c>
      <c r="W169" s="48">
        <f t="shared" si="114"/>
        <v>0</v>
      </c>
      <c r="X169" s="48">
        <f t="shared" si="115"/>
        <v>0</v>
      </c>
      <c r="Y169" s="48">
        <f t="shared" si="116"/>
        <v>1</v>
      </c>
      <c r="Z169" s="48">
        <f t="shared" si="117"/>
        <v>0</v>
      </c>
      <c r="AA169" s="48">
        <f t="shared" si="118"/>
        <v>0</v>
      </c>
      <c r="AB169" s="48">
        <f t="shared" si="119"/>
        <v>0.5</v>
      </c>
      <c r="AC169" s="48">
        <f t="shared" si="120"/>
        <v>5.2841334323422675</v>
      </c>
      <c r="AD169" s="48">
        <f t="shared" si="121"/>
        <v>0.013306567657736072</v>
      </c>
      <c r="AE169" s="45">
        <f t="shared" si="122"/>
        <v>6.792742004737452</v>
      </c>
      <c r="AF169" s="45">
        <f t="shared" si="123"/>
        <v>6.7974400000000035</v>
      </c>
      <c r="AG169" s="45">
        <f t="shared" si="124"/>
        <v>-0.0046979952625516574</v>
      </c>
      <c r="AH169" s="40">
        <f t="shared" si="125"/>
        <v>-0.034569038596495356</v>
      </c>
      <c r="AI169" s="45">
        <f t="shared" si="126"/>
        <v>13.590182004737455</v>
      </c>
      <c r="AJ169" s="49">
        <f t="shared" si="127"/>
        <v>696.3066115961615</v>
      </c>
      <c r="AK169" s="49"/>
      <c r="AL169" s="50">
        <f t="shared" si="128"/>
        <v>645.1358936025973</v>
      </c>
      <c r="AM169" s="42">
        <f t="shared" si="129"/>
        <v>0.4741269537259133</v>
      </c>
      <c r="AN169" s="42">
        <f t="shared" si="130"/>
        <v>109.59964201790922</v>
      </c>
      <c r="AO169" s="42">
        <f t="shared" si="131"/>
        <v>57.776296335135726</v>
      </c>
      <c r="AP169" s="42">
        <f t="shared" si="143"/>
        <v>51.82334568277349</v>
      </c>
      <c r="AQ169" s="42">
        <f t="shared" si="133"/>
        <v>1.9198173895494601</v>
      </c>
      <c r="AR169" s="42">
        <f t="shared" si="134"/>
        <v>1.1404252118186042</v>
      </c>
      <c r="AS169" s="42">
        <f t="shared" si="135"/>
        <v>392.45947499383493</v>
      </c>
      <c r="AT169" s="42">
        <f t="shared" si="136"/>
        <v>352.266082877912</v>
      </c>
    </row>
    <row r="170" spans="1:46" s="39" customFormat="1" ht="12.75">
      <c r="A170" s="51" t="s">
        <v>97</v>
      </c>
      <c r="C170" s="47">
        <v>7.7</v>
      </c>
      <c r="D170" s="45">
        <v>23</v>
      </c>
      <c r="E170" s="45">
        <v>0.5</v>
      </c>
      <c r="F170" s="45">
        <f t="shared" si="107"/>
        <v>4.9</v>
      </c>
      <c r="G170" s="45">
        <f t="shared" si="141"/>
        <v>110</v>
      </c>
      <c r="J170" s="45">
        <v>35.5</v>
      </c>
      <c r="K170" s="45">
        <v>0</v>
      </c>
      <c r="L170" s="45">
        <v>0</v>
      </c>
      <c r="M170" s="45">
        <f t="shared" si="106"/>
        <v>24</v>
      </c>
      <c r="N170" s="45">
        <f t="shared" si="137"/>
        <v>328.9084588070618</v>
      </c>
      <c r="O170" s="45">
        <f t="shared" si="138"/>
        <v>0.8146831405952177</v>
      </c>
      <c r="P170" s="45">
        <f t="shared" si="139"/>
        <v>329.7367200000003</v>
      </c>
      <c r="Q170" s="47">
        <f t="shared" si="142"/>
        <v>5.4055200000000045</v>
      </c>
      <c r="R170" s="40">
        <f t="shared" si="140"/>
        <v>346.2076140062691</v>
      </c>
      <c r="S170" s="48">
        <f t="shared" si="110"/>
        <v>0.9956709956709956</v>
      </c>
      <c r="T170" s="48">
        <f t="shared" si="111"/>
        <v>0.01278772378516624</v>
      </c>
      <c r="U170" s="48">
        <f t="shared" si="112"/>
        <v>0.40329218106995884</v>
      </c>
      <c r="V170" s="48">
        <f t="shared" si="113"/>
        <v>5.489021956087824</v>
      </c>
      <c r="W170" s="48">
        <f t="shared" si="114"/>
        <v>0</v>
      </c>
      <c r="X170" s="48">
        <f t="shared" si="115"/>
        <v>0</v>
      </c>
      <c r="Y170" s="48">
        <f t="shared" si="116"/>
        <v>1</v>
      </c>
      <c r="Z170" s="48">
        <f t="shared" si="117"/>
        <v>0</v>
      </c>
      <c r="AA170" s="48">
        <f t="shared" si="118"/>
        <v>0</v>
      </c>
      <c r="AB170" s="48">
        <f t="shared" si="119"/>
        <v>0.5</v>
      </c>
      <c r="AC170" s="48">
        <f t="shared" si="120"/>
        <v>5.3919419476567505</v>
      </c>
      <c r="AD170" s="48">
        <f t="shared" si="121"/>
        <v>0.013578052343253629</v>
      </c>
      <c r="AE170" s="45">
        <f t="shared" si="122"/>
        <v>6.900772856613945</v>
      </c>
      <c r="AF170" s="45">
        <f t="shared" si="123"/>
        <v>6.9055200000000045</v>
      </c>
      <c r="AG170" s="45">
        <f t="shared" si="124"/>
        <v>-0.004747143386059527</v>
      </c>
      <c r="AH170" s="40">
        <f t="shared" si="125"/>
        <v>-0.03438391054978522</v>
      </c>
      <c r="AI170" s="45">
        <f t="shared" si="126"/>
        <v>13.80629285661395</v>
      </c>
      <c r="AJ170" s="49">
        <f t="shared" si="127"/>
        <v>706.669496797563</v>
      </c>
      <c r="AK170" s="49"/>
      <c r="AL170" s="50">
        <f t="shared" si="128"/>
        <v>654.0430029603433</v>
      </c>
      <c r="AM170" s="42">
        <f t="shared" si="129"/>
        <v>0.47401653835317065</v>
      </c>
      <c r="AN170" s="42">
        <f t="shared" si="130"/>
        <v>109.50534872210173</v>
      </c>
      <c r="AO170" s="42">
        <f t="shared" si="131"/>
        <v>57.79564754129093</v>
      </c>
      <c r="AP170" s="42">
        <f t="shared" si="143"/>
        <v>51.709701180810804</v>
      </c>
      <c r="AQ170" s="42">
        <f t="shared" si="133"/>
        <v>1.9211715890037235</v>
      </c>
      <c r="AR170" s="42">
        <f t="shared" si="134"/>
        <v>1.1384475710443116</v>
      </c>
      <c r="AS170" s="42">
        <f t="shared" si="135"/>
        <v>398.83463578336693</v>
      </c>
      <c r="AT170" s="42">
        <f t="shared" si="136"/>
        <v>357.08237569811286</v>
      </c>
    </row>
    <row r="171" spans="1:46" s="39" customFormat="1" ht="12.75">
      <c r="A171" s="51" t="s">
        <v>98</v>
      </c>
      <c r="C171" s="47">
        <v>7.7</v>
      </c>
      <c r="D171" s="45">
        <v>23</v>
      </c>
      <c r="E171" s="45">
        <v>0.5</v>
      </c>
      <c r="F171" s="45">
        <f t="shared" si="107"/>
        <v>5</v>
      </c>
      <c r="G171" s="45">
        <f t="shared" si="141"/>
        <v>112</v>
      </c>
      <c r="J171" s="45">
        <v>35.5</v>
      </c>
      <c r="K171" s="45">
        <v>0</v>
      </c>
      <c r="L171" s="45">
        <v>0</v>
      </c>
      <c r="M171" s="45">
        <f t="shared" si="106"/>
        <v>24</v>
      </c>
      <c r="N171" s="45">
        <f t="shared" si="137"/>
        <v>335.4847782412453</v>
      </c>
      <c r="O171" s="45">
        <f t="shared" si="138"/>
        <v>0.8309722217262708</v>
      </c>
      <c r="P171" s="45">
        <f t="shared" si="139"/>
        <v>336.3296000000003</v>
      </c>
      <c r="Q171" s="47">
        <f t="shared" si="142"/>
        <v>5.513600000000005</v>
      </c>
      <c r="R171" s="40">
        <f t="shared" si="140"/>
        <v>353.12981925605044</v>
      </c>
      <c r="S171" s="48">
        <f t="shared" si="110"/>
        <v>0.9956709956709956</v>
      </c>
      <c r="T171" s="48">
        <f t="shared" si="111"/>
        <v>0.01278772378516624</v>
      </c>
      <c r="U171" s="48">
        <f t="shared" si="112"/>
        <v>0.411522633744856</v>
      </c>
      <c r="V171" s="48">
        <f t="shared" si="113"/>
        <v>5.588822355289421</v>
      </c>
      <c r="W171" s="48">
        <f t="shared" si="114"/>
        <v>0</v>
      </c>
      <c r="X171" s="48">
        <f t="shared" si="115"/>
        <v>0</v>
      </c>
      <c r="Y171" s="48">
        <f t="shared" si="116"/>
        <v>1</v>
      </c>
      <c r="Z171" s="48">
        <f t="shared" si="117"/>
        <v>0</v>
      </c>
      <c r="AA171" s="48">
        <f t="shared" si="118"/>
        <v>0</v>
      </c>
      <c r="AB171" s="48">
        <f t="shared" si="119"/>
        <v>0.5</v>
      </c>
      <c r="AC171" s="48">
        <f t="shared" si="120"/>
        <v>5.499750462971234</v>
      </c>
      <c r="AD171" s="48">
        <f t="shared" si="121"/>
        <v>0.01384953702877118</v>
      </c>
      <c r="AE171" s="45">
        <f t="shared" si="122"/>
        <v>7.008803708490439</v>
      </c>
      <c r="AF171" s="45">
        <f t="shared" si="123"/>
        <v>7.013600000000006</v>
      </c>
      <c r="AG171" s="45">
        <f t="shared" si="124"/>
        <v>-0.004796291509566508</v>
      </c>
      <c r="AH171" s="40">
        <f t="shared" si="125"/>
        <v>-0.03420448882570964</v>
      </c>
      <c r="AI171" s="45">
        <f t="shared" si="126"/>
        <v>14.022403708490444</v>
      </c>
      <c r="AJ171" s="49">
        <f t="shared" si="127"/>
        <v>717.0323819989649</v>
      </c>
      <c r="AK171" s="49"/>
      <c r="AL171" s="50">
        <f t="shared" si="128"/>
        <v>662.9334072499926</v>
      </c>
      <c r="AM171" s="42">
        <f t="shared" si="129"/>
        <v>0.47390945532936657</v>
      </c>
      <c r="AN171" s="42">
        <f t="shared" si="130"/>
        <v>109.41396142033119</v>
      </c>
      <c r="AO171" s="42">
        <f t="shared" si="131"/>
        <v>57.81440220419205</v>
      </c>
      <c r="AP171" s="42">
        <f t="shared" si="143"/>
        <v>51.59955921613915</v>
      </c>
      <c r="AQ171" s="42">
        <f t="shared" si="133"/>
        <v>1.9224808061692735</v>
      </c>
      <c r="AR171" s="42">
        <f t="shared" si="134"/>
        <v>1.1365268633156715</v>
      </c>
      <c r="AS171" s="42">
        <f t="shared" si="135"/>
        <v>405.20979657289905</v>
      </c>
      <c r="AT171" s="42">
        <f t="shared" si="136"/>
        <v>361.8986685183138</v>
      </c>
    </row>
    <row r="172" spans="1:46" s="39" customFormat="1" ht="12.75">
      <c r="A172" s="51" t="s">
        <v>99</v>
      </c>
      <c r="C172" s="47">
        <v>7.7</v>
      </c>
      <c r="D172" s="45">
        <v>23</v>
      </c>
      <c r="E172" s="45">
        <v>0.5</v>
      </c>
      <c r="F172" s="45">
        <f t="shared" si="107"/>
        <v>5.1</v>
      </c>
      <c r="G172" s="45">
        <f t="shared" si="141"/>
        <v>114</v>
      </c>
      <c r="J172" s="45">
        <v>35.5</v>
      </c>
      <c r="K172" s="45">
        <v>0</v>
      </c>
      <c r="L172" s="45">
        <v>0</v>
      </c>
      <c r="M172" s="45">
        <f t="shared" si="106"/>
        <v>24</v>
      </c>
      <c r="N172" s="45">
        <f t="shared" si="137"/>
        <v>342.0610976754287</v>
      </c>
      <c r="O172" s="45">
        <f t="shared" si="138"/>
        <v>0.8472613028573244</v>
      </c>
      <c r="P172" s="45">
        <f t="shared" si="139"/>
        <v>342.9224800000003</v>
      </c>
      <c r="Q172" s="47">
        <f t="shared" si="142"/>
        <v>5.621680000000005</v>
      </c>
      <c r="R172" s="40">
        <f t="shared" si="140"/>
        <v>360.05202450583164</v>
      </c>
      <c r="S172" s="48">
        <f t="shared" si="110"/>
        <v>0.9956709956709956</v>
      </c>
      <c r="T172" s="48">
        <f t="shared" si="111"/>
        <v>0.01278772378516624</v>
      </c>
      <c r="U172" s="48">
        <f t="shared" si="112"/>
        <v>0.41975308641975306</v>
      </c>
      <c r="V172" s="48">
        <f t="shared" si="113"/>
        <v>5.688622754491019</v>
      </c>
      <c r="W172" s="48">
        <f t="shared" si="114"/>
        <v>0</v>
      </c>
      <c r="X172" s="48">
        <f t="shared" si="115"/>
        <v>0</v>
      </c>
      <c r="Y172" s="48">
        <f t="shared" si="116"/>
        <v>1</v>
      </c>
      <c r="Z172" s="48">
        <f t="shared" si="117"/>
        <v>0</v>
      </c>
      <c r="AA172" s="48">
        <f t="shared" si="118"/>
        <v>0</v>
      </c>
      <c r="AB172" s="48">
        <f t="shared" si="119"/>
        <v>0.5</v>
      </c>
      <c r="AC172" s="48">
        <f t="shared" si="120"/>
        <v>5.6075589782857165</v>
      </c>
      <c r="AD172" s="48">
        <f t="shared" si="121"/>
        <v>0.01412102171428874</v>
      </c>
      <c r="AE172" s="45">
        <f t="shared" si="122"/>
        <v>7.116834560366934</v>
      </c>
      <c r="AF172" s="45">
        <f t="shared" si="123"/>
        <v>7.121680000000005</v>
      </c>
      <c r="AG172" s="45">
        <f t="shared" si="124"/>
        <v>-0.004845439633070825</v>
      </c>
      <c r="AH172" s="40">
        <f t="shared" si="125"/>
        <v>-0.034030513594150893</v>
      </c>
      <c r="AI172" s="45">
        <f t="shared" si="126"/>
        <v>14.238514560366939</v>
      </c>
      <c r="AJ172" s="49">
        <f t="shared" si="127"/>
        <v>727.3952672003664</v>
      </c>
      <c r="AK172" s="49"/>
      <c r="AL172" s="50">
        <f t="shared" si="128"/>
        <v>671.8072218757815</v>
      </c>
      <c r="AM172" s="42">
        <f t="shared" si="129"/>
        <v>0.47380555308460753</v>
      </c>
      <c r="AN172" s="42">
        <f t="shared" si="130"/>
        <v>109.32534781293896</v>
      </c>
      <c r="AO172" s="42">
        <f t="shared" si="131"/>
        <v>57.83258748974072</v>
      </c>
      <c r="AP172" s="42">
        <f t="shared" si="143"/>
        <v>51.49276032319823</v>
      </c>
      <c r="AQ172" s="42">
        <f t="shared" si="133"/>
        <v>1.9237472456877711</v>
      </c>
      <c r="AR172" s="42">
        <f t="shared" si="134"/>
        <v>1.134660665004826</v>
      </c>
      <c r="AS172" s="42">
        <f t="shared" si="135"/>
        <v>411.5849573624311</v>
      </c>
      <c r="AT172" s="42">
        <f t="shared" si="136"/>
        <v>366.7149613385146</v>
      </c>
    </row>
    <row r="173" spans="1:46" s="39" customFormat="1" ht="12.75">
      <c r="A173" s="51" t="s">
        <v>100</v>
      </c>
      <c r="C173" s="47">
        <v>7.7</v>
      </c>
      <c r="D173" s="45">
        <v>23</v>
      </c>
      <c r="E173" s="45">
        <v>0.5</v>
      </c>
      <c r="F173" s="45">
        <f t="shared" si="107"/>
        <v>5.2</v>
      </c>
      <c r="G173" s="45">
        <f t="shared" si="141"/>
        <v>116</v>
      </c>
      <c r="J173" s="45">
        <v>35.5</v>
      </c>
      <c r="K173" s="45">
        <v>0</v>
      </c>
      <c r="L173" s="45">
        <v>0</v>
      </c>
      <c r="M173" s="45">
        <f t="shared" si="106"/>
        <v>24</v>
      </c>
      <c r="N173" s="45">
        <f t="shared" si="137"/>
        <v>348.63741710961216</v>
      </c>
      <c r="O173" s="45">
        <f t="shared" si="138"/>
        <v>0.8635503839883776</v>
      </c>
      <c r="P173" s="45">
        <f t="shared" si="139"/>
        <v>349.5153600000003</v>
      </c>
      <c r="Q173" s="47">
        <f t="shared" si="142"/>
        <v>5.729760000000005</v>
      </c>
      <c r="R173" s="40">
        <f t="shared" si="140"/>
        <v>366.97422975561295</v>
      </c>
      <c r="S173" s="48">
        <f t="shared" si="110"/>
        <v>0.9956709956709956</v>
      </c>
      <c r="T173" s="48">
        <f t="shared" si="111"/>
        <v>0.01278772378516624</v>
      </c>
      <c r="U173" s="48">
        <f t="shared" si="112"/>
        <v>0.4279835390946502</v>
      </c>
      <c r="V173" s="48">
        <f t="shared" si="113"/>
        <v>5.788423153692615</v>
      </c>
      <c r="W173" s="48">
        <f t="shared" si="114"/>
        <v>0</v>
      </c>
      <c r="X173" s="48">
        <f t="shared" si="115"/>
        <v>0</v>
      </c>
      <c r="Y173" s="48">
        <f t="shared" si="116"/>
        <v>1</v>
      </c>
      <c r="Z173" s="48">
        <f t="shared" si="117"/>
        <v>0</v>
      </c>
      <c r="AA173" s="48">
        <f t="shared" si="118"/>
        <v>0</v>
      </c>
      <c r="AB173" s="48">
        <f t="shared" si="119"/>
        <v>0.5</v>
      </c>
      <c r="AC173" s="48">
        <f t="shared" si="120"/>
        <v>5.7153674936001995</v>
      </c>
      <c r="AD173" s="48">
        <f t="shared" si="121"/>
        <v>0.014392506399806293</v>
      </c>
      <c r="AE173" s="45">
        <f t="shared" si="122"/>
        <v>7.224865412243427</v>
      </c>
      <c r="AF173" s="45">
        <f t="shared" si="123"/>
        <v>7.229760000000006</v>
      </c>
      <c r="AG173" s="45">
        <f t="shared" si="124"/>
        <v>-0.004894587756578694</v>
      </c>
      <c r="AH173" s="40">
        <f t="shared" si="125"/>
        <v>-0.033861740563908733</v>
      </c>
      <c r="AI173" s="45">
        <f t="shared" si="126"/>
        <v>14.454625412243434</v>
      </c>
      <c r="AJ173" s="49">
        <f t="shared" si="127"/>
        <v>737.758152401768</v>
      </c>
      <c r="AK173" s="49"/>
      <c r="AL173" s="50">
        <f t="shared" si="128"/>
        <v>680.6645600373407</v>
      </c>
      <c r="AM173" s="42">
        <f t="shared" si="129"/>
        <v>0.47370468924377607</v>
      </c>
      <c r="AN173" s="42">
        <f t="shared" si="130"/>
        <v>109.23938351106511</v>
      </c>
      <c r="AO173" s="42">
        <f t="shared" si="131"/>
        <v>57.85022893903021</v>
      </c>
      <c r="AP173" s="42">
        <f t="shared" si="143"/>
        <v>51.389154572034904</v>
      </c>
      <c r="AQ173" s="42">
        <f t="shared" si="133"/>
        <v>1.924972970446843</v>
      </c>
      <c r="AR173" s="42">
        <f t="shared" si="134"/>
        <v>1.1328466881236416</v>
      </c>
      <c r="AS173" s="42">
        <f t="shared" si="135"/>
        <v>417.9601181519631</v>
      </c>
      <c r="AT173" s="42">
        <f t="shared" si="136"/>
        <v>371.5312541587154</v>
      </c>
    </row>
    <row r="174" spans="1:46" s="39" customFormat="1" ht="12.75">
      <c r="A174" s="51" t="s">
        <v>101</v>
      </c>
      <c r="C174" s="47">
        <v>7.7</v>
      </c>
      <c r="D174" s="45">
        <v>23</v>
      </c>
      <c r="E174" s="45">
        <v>0.5</v>
      </c>
      <c r="F174" s="45">
        <f t="shared" si="107"/>
        <v>5.3</v>
      </c>
      <c r="G174" s="45">
        <f t="shared" si="141"/>
        <v>118</v>
      </c>
      <c r="J174" s="45">
        <v>35.5</v>
      </c>
      <c r="K174" s="45">
        <v>0</v>
      </c>
      <c r="L174" s="45">
        <v>0</v>
      </c>
      <c r="M174" s="45">
        <f t="shared" si="106"/>
        <v>24</v>
      </c>
      <c r="N174" s="45">
        <f t="shared" si="137"/>
        <v>355.21373654379556</v>
      </c>
      <c r="O174" s="45">
        <f t="shared" si="138"/>
        <v>0.879839465119431</v>
      </c>
      <c r="P174" s="45">
        <f t="shared" si="139"/>
        <v>356.1082400000003</v>
      </c>
      <c r="Q174" s="47">
        <f t="shared" si="142"/>
        <v>5.837840000000005</v>
      </c>
      <c r="R174" s="40">
        <f t="shared" si="140"/>
        <v>373.89643500539415</v>
      </c>
      <c r="S174" s="48">
        <f t="shared" si="110"/>
        <v>0.9956709956709956</v>
      </c>
      <c r="T174" s="48">
        <f t="shared" si="111"/>
        <v>0.01278772378516624</v>
      </c>
      <c r="U174" s="48">
        <f t="shared" si="112"/>
        <v>0.4362139917695473</v>
      </c>
      <c r="V174" s="48">
        <f t="shared" si="113"/>
        <v>5.888223552894212</v>
      </c>
      <c r="W174" s="48">
        <f t="shared" si="114"/>
        <v>0</v>
      </c>
      <c r="X174" s="48">
        <f t="shared" si="115"/>
        <v>0</v>
      </c>
      <c r="Y174" s="48">
        <f t="shared" si="116"/>
        <v>1</v>
      </c>
      <c r="Z174" s="48">
        <f t="shared" si="117"/>
        <v>0</v>
      </c>
      <c r="AA174" s="48">
        <f t="shared" si="118"/>
        <v>0</v>
      </c>
      <c r="AB174" s="48">
        <f t="shared" si="119"/>
        <v>0.5</v>
      </c>
      <c r="AC174" s="48">
        <f t="shared" si="120"/>
        <v>5.823176008914682</v>
      </c>
      <c r="AD174" s="48">
        <f t="shared" si="121"/>
        <v>0.01466399108532385</v>
      </c>
      <c r="AE174" s="45">
        <f t="shared" si="122"/>
        <v>7.332896264119921</v>
      </c>
      <c r="AF174" s="45">
        <f t="shared" si="123"/>
        <v>7.337840000000005</v>
      </c>
      <c r="AG174" s="45">
        <f t="shared" si="124"/>
        <v>-0.004943735880083899</v>
      </c>
      <c r="AH174" s="40">
        <f t="shared" si="125"/>
        <v>-0.033697939838062144</v>
      </c>
      <c r="AI174" s="45">
        <f t="shared" si="126"/>
        <v>14.670736264119927</v>
      </c>
      <c r="AJ174" s="49">
        <f t="shared" si="127"/>
        <v>748.1210376031697</v>
      </c>
      <c r="AK174" s="49"/>
      <c r="AL174" s="50">
        <f t="shared" si="128"/>
        <v>689.5055327908159</v>
      </c>
      <c r="AM174" s="42">
        <f t="shared" si="129"/>
        <v>0.4736067299319336</v>
      </c>
      <c r="AN174" s="42">
        <f t="shared" si="130"/>
        <v>109.1559514540789</v>
      </c>
      <c r="AO174" s="42">
        <f t="shared" si="131"/>
        <v>57.86735058803167</v>
      </c>
      <c r="AP174" s="42">
        <f t="shared" si="143"/>
        <v>51.28860086604723</v>
      </c>
      <c r="AQ174" s="42">
        <f t="shared" si="133"/>
        <v>1.926159912792966</v>
      </c>
      <c r="AR174" s="42">
        <f t="shared" si="134"/>
        <v>1.1310827709656954</v>
      </c>
      <c r="AS174" s="42">
        <f t="shared" si="135"/>
        <v>424.3352789414952</v>
      </c>
      <c r="AT174" s="42">
        <f t="shared" si="136"/>
        <v>376.3475469789163</v>
      </c>
    </row>
    <row r="175" spans="1:46" s="39" customFormat="1" ht="12.75">
      <c r="A175" s="51" t="s">
        <v>102</v>
      </c>
      <c r="C175" s="47">
        <v>7.7</v>
      </c>
      <c r="D175" s="45">
        <v>23</v>
      </c>
      <c r="E175" s="45">
        <v>0.5</v>
      </c>
      <c r="F175" s="45">
        <f t="shared" si="107"/>
        <v>5.4</v>
      </c>
      <c r="G175" s="45">
        <f t="shared" si="141"/>
        <v>120</v>
      </c>
      <c r="J175" s="45">
        <v>35.5</v>
      </c>
      <c r="K175" s="45">
        <v>0</v>
      </c>
      <c r="L175" s="45">
        <v>0</v>
      </c>
      <c r="M175" s="45">
        <f t="shared" si="106"/>
        <v>24</v>
      </c>
      <c r="N175" s="45">
        <f t="shared" si="137"/>
        <v>361.790055977979</v>
      </c>
      <c r="O175" s="45">
        <f t="shared" si="138"/>
        <v>0.8961285462504842</v>
      </c>
      <c r="P175" s="45">
        <f t="shared" si="139"/>
        <v>362.70112000000034</v>
      </c>
      <c r="Q175" s="47">
        <f t="shared" si="142"/>
        <v>5.945920000000005</v>
      </c>
      <c r="R175" s="40">
        <f t="shared" si="140"/>
        <v>380.81864025517547</v>
      </c>
      <c r="S175" s="48">
        <f t="shared" si="110"/>
        <v>0.9956709956709956</v>
      </c>
      <c r="T175" s="48">
        <f t="shared" si="111"/>
        <v>0.01278772378516624</v>
      </c>
      <c r="U175" s="48">
        <f t="shared" si="112"/>
        <v>0.4444444444444445</v>
      </c>
      <c r="V175" s="48">
        <f t="shared" si="113"/>
        <v>5.9880239520958085</v>
      </c>
      <c r="W175" s="48">
        <f t="shared" si="114"/>
        <v>0</v>
      </c>
      <c r="X175" s="48">
        <f t="shared" si="115"/>
        <v>0</v>
      </c>
      <c r="Y175" s="48">
        <f t="shared" si="116"/>
        <v>1</v>
      </c>
      <c r="Z175" s="48">
        <f t="shared" si="117"/>
        <v>0</v>
      </c>
      <c r="AA175" s="48">
        <f t="shared" si="118"/>
        <v>0</v>
      </c>
      <c r="AB175" s="48">
        <f t="shared" si="119"/>
        <v>0.5</v>
      </c>
      <c r="AC175" s="48">
        <f t="shared" si="120"/>
        <v>5.930984524229165</v>
      </c>
      <c r="AD175" s="48">
        <f t="shared" si="121"/>
        <v>0.014935475770841403</v>
      </c>
      <c r="AE175" s="45">
        <f t="shared" si="122"/>
        <v>7.4409271159964145</v>
      </c>
      <c r="AF175" s="45">
        <f t="shared" si="123"/>
        <v>7.445920000000006</v>
      </c>
      <c r="AG175" s="45">
        <f t="shared" si="124"/>
        <v>-0.004992884003591769</v>
      </c>
      <c r="AH175" s="40">
        <f t="shared" si="125"/>
        <v>-0.03353889486932895</v>
      </c>
      <c r="AI175" s="45">
        <f t="shared" si="126"/>
        <v>14.88684711599642</v>
      </c>
      <c r="AJ175" s="49">
        <f t="shared" si="127"/>
        <v>758.4839228045713</v>
      </c>
      <c r="AK175" s="49"/>
      <c r="AL175" s="50">
        <f t="shared" si="128"/>
        <v>698.3302491082783</v>
      </c>
      <c r="AM175" s="42">
        <f t="shared" si="129"/>
        <v>0.47351154914223675</v>
      </c>
      <c r="AN175" s="42">
        <f t="shared" si="130"/>
        <v>109.07494137774367</v>
      </c>
      <c r="AO175" s="42">
        <f t="shared" si="131"/>
        <v>57.88397507685449</v>
      </c>
      <c r="AP175" s="42">
        <f t="shared" si="143"/>
        <v>51.19096630088919</v>
      </c>
      <c r="AQ175" s="42">
        <f t="shared" si="133"/>
        <v>1.9273098846965857</v>
      </c>
      <c r="AR175" s="42">
        <f t="shared" si="134"/>
        <v>1.1293668695124703</v>
      </c>
      <c r="AS175" s="42">
        <f t="shared" si="135"/>
        <v>430.71043973102724</v>
      </c>
      <c r="AT175" s="42">
        <f t="shared" si="136"/>
        <v>381.1638397991171</v>
      </c>
    </row>
    <row r="176" spans="1:46" s="39" customFormat="1" ht="12.75">
      <c r="A176" s="51" t="s">
        <v>103</v>
      </c>
      <c r="C176" s="47">
        <v>7.7</v>
      </c>
      <c r="D176" s="45">
        <v>23</v>
      </c>
      <c r="E176" s="45">
        <v>0.5</v>
      </c>
      <c r="F176" s="45">
        <f t="shared" si="107"/>
        <v>5.5</v>
      </c>
      <c r="G176" s="45">
        <f t="shared" si="141"/>
        <v>122</v>
      </c>
      <c r="J176" s="45">
        <v>35.5</v>
      </c>
      <c r="K176" s="45">
        <v>0</v>
      </c>
      <c r="L176" s="45">
        <v>0</v>
      </c>
      <c r="M176" s="45">
        <f t="shared" si="106"/>
        <v>24</v>
      </c>
      <c r="N176" s="45">
        <f t="shared" si="137"/>
        <v>368.3663754121624</v>
      </c>
      <c r="O176" s="45">
        <f t="shared" si="138"/>
        <v>0.9124176273815375</v>
      </c>
      <c r="P176" s="45">
        <f t="shared" si="139"/>
        <v>369.2940000000003</v>
      </c>
      <c r="Q176" s="47">
        <f t="shared" si="142"/>
        <v>6.054000000000006</v>
      </c>
      <c r="R176" s="40">
        <f t="shared" si="140"/>
        <v>387.7408455049567</v>
      </c>
      <c r="S176" s="48">
        <f t="shared" si="110"/>
        <v>0.9956709956709956</v>
      </c>
      <c r="T176" s="48">
        <f t="shared" si="111"/>
        <v>0.01278772378516624</v>
      </c>
      <c r="U176" s="48">
        <f t="shared" si="112"/>
        <v>0.45267489711934156</v>
      </c>
      <c r="V176" s="48">
        <f t="shared" si="113"/>
        <v>6.087824351297406</v>
      </c>
      <c r="W176" s="48">
        <f t="shared" si="114"/>
        <v>0</v>
      </c>
      <c r="X176" s="48">
        <f t="shared" si="115"/>
        <v>0</v>
      </c>
      <c r="Y176" s="48">
        <f t="shared" si="116"/>
        <v>1</v>
      </c>
      <c r="Z176" s="48">
        <f t="shared" si="117"/>
        <v>0</v>
      </c>
      <c r="AA176" s="48">
        <f t="shared" si="118"/>
        <v>0</v>
      </c>
      <c r="AB176" s="48">
        <f t="shared" si="119"/>
        <v>0.5</v>
      </c>
      <c r="AC176" s="48">
        <f t="shared" si="120"/>
        <v>6.038793039543647</v>
      </c>
      <c r="AD176" s="48">
        <f t="shared" si="121"/>
        <v>0.01520696045635896</v>
      </c>
      <c r="AE176" s="45">
        <f t="shared" si="122"/>
        <v>7.548957967872909</v>
      </c>
      <c r="AF176" s="45">
        <f t="shared" si="123"/>
        <v>7.554000000000006</v>
      </c>
      <c r="AG176" s="45">
        <f t="shared" si="124"/>
        <v>-0.005042032127096974</v>
      </c>
      <c r="AH176" s="40">
        <f t="shared" si="125"/>
        <v>-0.03338440150480726</v>
      </c>
      <c r="AI176" s="45">
        <f t="shared" si="126"/>
        <v>15.102957967872914</v>
      </c>
      <c r="AJ176" s="49">
        <f t="shared" si="127"/>
        <v>768.8468080059729</v>
      </c>
      <c r="AK176" s="49"/>
      <c r="AL176" s="50">
        <f t="shared" si="128"/>
        <v>707.1388159354177</v>
      </c>
      <c r="AM176" s="42">
        <f t="shared" si="129"/>
        <v>0.4734190281598659</v>
      </c>
      <c r="AN176" s="42">
        <f t="shared" si="130"/>
        <v>108.99624932803616</v>
      </c>
      <c r="AO176" s="42">
        <f t="shared" si="131"/>
        <v>57.90012374962503</v>
      </c>
      <c r="AP176" s="42">
        <f t="shared" si="143"/>
        <v>51.096125578411126</v>
      </c>
      <c r="AQ176" s="42">
        <f t="shared" si="133"/>
        <v>1.928424586981944</v>
      </c>
      <c r="AR176" s="42">
        <f t="shared" si="134"/>
        <v>1.127697049531921</v>
      </c>
      <c r="AS176" s="42">
        <f t="shared" si="135"/>
        <v>437.0856005205593</v>
      </c>
      <c r="AT176" s="42">
        <f t="shared" si="136"/>
        <v>385.98013261931794</v>
      </c>
    </row>
    <row r="177" spans="1:46" s="39" customFormat="1" ht="12.75">
      <c r="A177" s="51" t="s">
        <v>104</v>
      </c>
      <c r="C177" s="47">
        <v>7.7</v>
      </c>
      <c r="D177" s="45">
        <v>23</v>
      </c>
      <c r="E177" s="45">
        <v>0.5</v>
      </c>
      <c r="F177" s="45">
        <f t="shared" si="107"/>
        <v>5.6</v>
      </c>
      <c r="G177" s="45">
        <f t="shared" si="141"/>
        <v>124</v>
      </c>
      <c r="J177" s="45">
        <v>35.5</v>
      </c>
      <c r="K177" s="45">
        <v>0</v>
      </c>
      <c r="L177" s="45">
        <v>0</v>
      </c>
      <c r="M177" s="45">
        <f t="shared" si="106"/>
        <v>24</v>
      </c>
      <c r="N177" s="45">
        <f t="shared" si="137"/>
        <v>374.9426948463459</v>
      </c>
      <c r="O177" s="45">
        <f t="shared" si="138"/>
        <v>0.9287067085125907</v>
      </c>
      <c r="P177" s="45">
        <f t="shared" si="139"/>
        <v>375.88688000000036</v>
      </c>
      <c r="Q177" s="47">
        <f t="shared" si="142"/>
        <v>6.162080000000006</v>
      </c>
      <c r="R177" s="40">
        <f t="shared" si="140"/>
        <v>394.663050754738</v>
      </c>
      <c r="S177" s="48">
        <f t="shared" si="110"/>
        <v>0.9956709956709956</v>
      </c>
      <c r="T177" s="48">
        <f t="shared" si="111"/>
        <v>0.01278772378516624</v>
      </c>
      <c r="U177" s="48">
        <f t="shared" si="112"/>
        <v>0.46090534979423864</v>
      </c>
      <c r="V177" s="48">
        <f t="shared" si="113"/>
        <v>6.187624750499002</v>
      </c>
      <c r="W177" s="48">
        <f t="shared" si="114"/>
        <v>0</v>
      </c>
      <c r="X177" s="48">
        <f t="shared" si="115"/>
        <v>0</v>
      </c>
      <c r="Y177" s="48">
        <f t="shared" si="116"/>
        <v>1</v>
      </c>
      <c r="Z177" s="48">
        <f t="shared" si="117"/>
        <v>0</v>
      </c>
      <c r="AA177" s="48">
        <f t="shared" si="118"/>
        <v>0</v>
      </c>
      <c r="AB177" s="48">
        <f t="shared" si="119"/>
        <v>0.5</v>
      </c>
      <c r="AC177" s="48">
        <f t="shared" si="120"/>
        <v>6.14660155485813</v>
      </c>
      <c r="AD177" s="48">
        <f t="shared" si="121"/>
        <v>0.015478445141876513</v>
      </c>
      <c r="AE177" s="45">
        <f t="shared" si="122"/>
        <v>7.656988819749403</v>
      </c>
      <c r="AF177" s="45">
        <f t="shared" si="123"/>
        <v>7.662080000000006</v>
      </c>
      <c r="AG177" s="45">
        <f t="shared" si="124"/>
        <v>-0.005091180250603067</v>
      </c>
      <c r="AH177" s="40">
        <f t="shared" si="125"/>
        <v>-0.033234267111846225</v>
      </c>
      <c r="AI177" s="45">
        <f t="shared" si="126"/>
        <v>15.319068819749408</v>
      </c>
      <c r="AJ177" s="49">
        <f t="shared" si="127"/>
        <v>779.2096932073747</v>
      </c>
      <c r="AK177" s="49"/>
      <c r="AL177" s="50">
        <f t="shared" si="128"/>
        <v>715.9313382475183</v>
      </c>
      <c r="AM177" s="42">
        <f t="shared" si="129"/>
        <v>0.47332905503623046</v>
      </c>
      <c r="AN177" s="42">
        <f t="shared" si="130"/>
        <v>108.91977721611153</v>
      </c>
      <c r="AO177" s="42">
        <f t="shared" si="131"/>
        <v>57.91581674591042</v>
      </c>
      <c r="AP177" s="42">
        <f t="shared" si="143"/>
        <v>51.003960470201115</v>
      </c>
      <c r="AQ177" s="42">
        <f t="shared" si="133"/>
        <v>1.929505617720496</v>
      </c>
      <c r="AR177" s="42">
        <f t="shared" si="134"/>
        <v>1.1260714793051982</v>
      </c>
      <c r="AS177" s="42">
        <f t="shared" si="135"/>
        <v>443.4607613100913</v>
      </c>
      <c r="AT177" s="42">
        <f t="shared" si="136"/>
        <v>390.7964254395188</v>
      </c>
    </row>
    <row r="178" spans="1:46" s="39" customFormat="1" ht="12.75">
      <c r="A178" s="51" t="s">
        <v>105</v>
      </c>
      <c r="C178" s="47">
        <v>7.7</v>
      </c>
      <c r="D178" s="45">
        <v>23</v>
      </c>
      <c r="E178" s="45">
        <v>0.5</v>
      </c>
      <c r="F178" s="45">
        <f t="shared" si="107"/>
        <v>5.7</v>
      </c>
      <c r="G178" s="45">
        <f t="shared" si="141"/>
        <v>126</v>
      </c>
      <c r="J178" s="45">
        <v>35.5</v>
      </c>
      <c r="K178" s="45">
        <v>0</v>
      </c>
      <c r="L178" s="45">
        <v>0</v>
      </c>
      <c r="M178" s="45">
        <f t="shared" si="106"/>
        <v>24</v>
      </c>
      <c r="N178" s="45">
        <f t="shared" si="137"/>
        <v>381.5190142805293</v>
      </c>
      <c r="O178" s="45">
        <f t="shared" si="138"/>
        <v>0.9449957896436441</v>
      </c>
      <c r="P178" s="45">
        <f t="shared" si="139"/>
        <v>382.47976000000034</v>
      </c>
      <c r="Q178" s="47">
        <f t="shared" si="142"/>
        <v>6.270160000000006</v>
      </c>
      <c r="R178" s="40">
        <f t="shared" si="140"/>
        <v>401.5852560045192</v>
      </c>
      <c r="S178" s="48">
        <f t="shared" si="110"/>
        <v>0.9956709956709956</v>
      </c>
      <c r="T178" s="48">
        <f t="shared" si="111"/>
        <v>0.01278772378516624</v>
      </c>
      <c r="U178" s="48">
        <f t="shared" si="112"/>
        <v>0.4691358024691358</v>
      </c>
      <c r="V178" s="48">
        <f t="shared" si="113"/>
        <v>6.287425149700599</v>
      </c>
      <c r="W178" s="48">
        <f t="shared" si="114"/>
        <v>0</v>
      </c>
      <c r="X178" s="48">
        <f t="shared" si="115"/>
        <v>0</v>
      </c>
      <c r="Y178" s="48">
        <f t="shared" si="116"/>
        <v>1</v>
      </c>
      <c r="Z178" s="48">
        <f t="shared" si="117"/>
        <v>0</v>
      </c>
      <c r="AA178" s="48">
        <f t="shared" si="118"/>
        <v>0</v>
      </c>
      <c r="AB178" s="48">
        <f t="shared" si="119"/>
        <v>0.5</v>
      </c>
      <c r="AC178" s="48">
        <f t="shared" si="120"/>
        <v>6.254410070172612</v>
      </c>
      <c r="AD178" s="48">
        <f t="shared" si="121"/>
        <v>0.01574992982739407</v>
      </c>
      <c r="AE178" s="45">
        <f t="shared" si="122"/>
        <v>7.765019671625897</v>
      </c>
      <c r="AF178" s="45">
        <f t="shared" si="123"/>
        <v>7.770160000000006</v>
      </c>
      <c r="AG178" s="45">
        <f t="shared" si="124"/>
        <v>-0.00514032837410916</v>
      </c>
      <c r="AH178" s="40">
        <f t="shared" si="125"/>
        <v>-0.033088309776665596</v>
      </c>
      <c r="AI178" s="45">
        <f t="shared" si="126"/>
        <v>15.535179671625903</v>
      </c>
      <c r="AJ178" s="49">
        <f t="shared" si="127"/>
        <v>789.5725784087763</v>
      </c>
      <c r="AK178" s="49"/>
      <c r="AL178" s="50">
        <f t="shared" si="128"/>
        <v>724.7079191037329</v>
      </c>
      <c r="AM178" s="42">
        <f t="shared" si="129"/>
        <v>0.4732415241083826</v>
      </c>
      <c r="AN178" s="42">
        <f t="shared" si="130"/>
        <v>108.8454324104087</v>
      </c>
      <c r="AO178" s="42">
        <f t="shared" si="131"/>
        <v>57.931073084510736</v>
      </c>
      <c r="AP178" s="42">
        <f t="shared" si="143"/>
        <v>50.91435932589796</v>
      </c>
      <c r="AQ178" s="42">
        <f t="shared" si="133"/>
        <v>1.930554479875031</v>
      </c>
      <c r="AR178" s="42">
        <f t="shared" si="134"/>
        <v>1.124488422924032</v>
      </c>
      <c r="AS178" s="42">
        <f t="shared" si="135"/>
        <v>449.83592209962336</v>
      </c>
      <c r="AT178" s="42">
        <f t="shared" si="136"/>
        <v>395.6127182597196</v>
      </c>
    </row>
    <row r="179" spans="1:46" s="39" customFormat="1" ht="12.75">
      <c r="A179" s="51" t="s">
        <v>106</v>
      </c>
      <c r="C179" s="47">
        <v>7.7</v>
      </c>
      <c r="D179" s="45">
        <v>23</v>
      </c>
      <c r="E179" s="45">
        <v>0.5</v>
      </c>
      <c r="F179" s="45">
        <f t="shared" si="107"/>
        <v>5.8</v>
      </c>
      <c r="G179" s="45">
        <f t="shared" si="141"/>
        <v>128</v>
      </c>
      <c r="J179" s="45">
        <v>35.5</v>
      </c>
      <c r="K179" s="45">
        <v>0</v>
      </c>
      <c r="L179" s="45">
        <v>0</v>
      </c>
      <c r="M179" s="45">
        <f t="shared" si="106"/>
        <v>24</v>
      </c>
      <c r="N179" s="45">
        <f t="shared" si="137"/>
        <v>388.09533371471275</v>
      </c>
      <c r="O179" s="45">
        <f t="shared" si="138"/>
        <v>0.9612848707746973</v>
      </c>
      <c r="P179" s="45">
        <f t="shared" si="139"/>
        <v>389.0726400000004</v>
      </c>
      <c r="Q179" s="47">
        <f t="shared" si="142"/>
        <v>6.378240000000006</v>
      </c>
      <c r="R179" s="40">
        <f t="shared" si="140"/>
        <v>408.5074612543005</v>
      </c>
      <c r="S179" s="48">
        <f t="shared" si="110"/>
        <v>0.9956709956709956</v>
      </c>
      <c r="T179" s="48">
        <f t="shared" si="111"/>
        <v>0.01278772378516624</v>
      </c>
      <c r="U179" s="48">
        <f t="shared" si="112"/>
        <v>0.4773662551440329</v>
      </c>
      <c r="V179" s="48">
        <f t="shared" si="113"/>
        <v>6.387225548902196</v>
      </c>
      <c r="W179" s="48">
        <f t="shared" si="114"/>
        <v>0</v>
      </c>
      <c r="X179" s="48">
        <f t="shared" si="115"/>
        <v>0</v>
      </c>
      <c r="Y179" s="48">
        <f t="shared" si="116"/>
        <v>1</v>
      </c>
      <c r="Z179" s="48">
        <f t="shared" si="117"/>
        <v>0</v>
      </c>
      <c r="AA179" s="48">
        <f t="shared" si="118"/>
        <v>0</v>
      </c>
      <c r="AB179" s="48">
        <f t="shared" si="119"/>
        <v>0.5</v>
      </c>
      <c r="AC179" s="48">
        <f t="shared" si="120"/>
        <v>6.362218585487094</v>
      </c>
      <c r="AD179" s="48">
        <f t="shared" si="121"/>
        <v>0.01602141451291162</v>
      </c>
      <c r="AE179" s="45">
        <f t="shared" si="122"/>
        <v>7.873050523502391</v>
      </c>
      <c r="AF179" s="45">
        <f t="shared" si="123"/>
        <v>7.878240000000005</v>
      </c>
      <c r="AG179" s="45">
        <f t="shared" si="124"/>
        <v>-0.005189476497614365</v>
      </c>
      <c r="AH179" s="40">
        <f t="shared" si="125"/>
        <v>-0.03294635756905875</v>
      </c>
      <c r="AI179" s="45">
        <f t="shared" si="126"/>
        <v>15.751290523502396</v>
      </c>
      <c r="AJ179" s="49">
        <f t="shared" si="127"/>
        <v>799.935463610178</v>
      </c>
      <c r="AK179" s="49"/>
      <c r="AL179" s="50">
        <f t="shared" si="128"/>
        <v>733.468659699676</v>
      </c>
      <c r="AM179" s="42">
        <f t="shared" si="129"/>
        <v>0.4731563355591386</v>
      </c>
      <c r="AN179" s="42">
        <f t="shared" si="130"/>
        <v>108.77312736232905</v>
      </c>
      <c r="AO179" s="42">
        <f t="shared" si="131"/>
        <v>57.945910740352545</v>
      </c>
      <c r="AP179" s="42">
        <f t="shared" si="143"/>
        <v>50.827216621976504</v>
      </c>
      <c r="AQ179" s="42">
        <f t="shared" si="133"/>
        <v>1.93157258827139</v>
      </c>
      <c r="AR179" s="42">
        <f t="shared" si="134"/>
        <v>1.12294623410721</v>
      </c>
      <c r="AS179" s="42">
        <f t="shared" si="135"/>
        <v>456.2110828891554</v>
      </c>
      <c r="AT179" s="42">
        <f t="shared" si="136"/>
        <v>400.42901107992043</v>
      </c>
    </row>
    <row r="180" spans="1:46" s="39" customFormat="1" ht="12.75">
      <c r="A180" s="51" t="s">
        <v>107</v>
      </c>
      <c r="C180" s="47">
        <v>7.7</v>
      </c>
      <c r="D180" s="45">
        <v>23</v>
      </c>
      <c r="E180" s="45">
        <v>0.5</v>
      </c>
      <c r="F180" s="45">
        <f t="shared" si="107"/>
        <v>5.9</v>
      </c>
      <c r="G180" s="45">
        <f t="shared" si="141"/>
        <v>130</v>
      </c>
      <c r="J180" s="45">
        <v>35.5</v>
      </c>
      <c r="K180" s="45">
        <v>0</v>
      </c>
      <c r="L180" s="45">
        <v>0</v>
      </c>
      <c r="M180" s="45">
        <f t="shared" si="106"/>
        <v>24</v>
      </c>
      <c r="N180" s="45">
        <f t="shared" si="137"/>
        <v>394.67165314889616</v>
      </c>
      <c r="O180" s="45">
        <f t="shared" si="138"/>
        <v>0.9775739519057507</v>
      </c>
      <c r="P180" s="45">
        <f t="shared" si="139"/>
        <v>395.66552000000036</v>
      </c>
      <c r="Q180" s="47">
        <f t="shared" si="142"/>
        <v>6.486320000000006</v>
      </c>
      <c r="R180" s="40">
        <f t="shared" si="140"/>
        <v>415.4296665040817</v>
      </c>
      <c r="S180" s="48">
        <f t="shared" si="110"/>
        <v>0.9956709956709956</v>
      </c>
      <c r="T180" s="48">
        <f t="shared" si="111"/>
        <v>0.01278772378516624</v>
      </c>
      <c r="U180" s="48">
        <f t="shared" si="112"/>
        <v>0.48559670781893005</v>
      </c>
      <c r="V180" s="48">
        <f t="shared" si="113"/>
        <v>6.487025948103793</v>
      </c>
      <c r="W180" s="48">
        <f t="shared" si="114"/>
        <v>0</v>
      </c>
      <c r="X180" s="48">
        <f t="shared" si="115"/>
        <v>0</v>
      </c>
      <c r="Y180" s="48">
        <f t="shared" si="116"/>
        <v>1</v>
      </c>
      <c r="Z180" s="48">
        <f t="shared" si="117"/>
        <v>0</v>
      </c>
      <c r="AA180" s="48">
        <f t="shared" si="118"/>
        <v>0</v>
      </c>
      <c r="AB180" s="48">
        <f t="shared" si="119"/>
        <v>0.5</v>
      </c>
      <c r="AC180" s="48">
        <f t="shared" si="120"/>
        <v>6.470027100801576</v>
      </c>
      <c r="AD180" s="48">
        <f t="shared" si="121"/>
        <v>0.01629289919842918</v>
      </c>
      <c r="AE180" s="45">
        <f t="shared" si="122"/>
        <v>7.981081375378885</v>
      </c>
      <c r="AF180" s="45">
        <f t="shared" si="123"/>
        <v>7.986320000000005</v>
      </c>
      <c r="AG180" s="45">
        <f t="shared" si="124"/>
        <v>-0.005238624621120458</v>
      </c>
      <c r="AH180" s="40">
        <f t="shared" si="125"/>
        <v>-0.03280824786679574</v>
      </c>
      <c r="AI180" s="45">
        <f t="shared" si="126"/>
        <v>15.967401375378891</v>
      </c>
      <c r="AJ180" s="49">
        <f t="shared" si="127"/>
        <v>810.2983488115794</v>
      </c>
      <c r="AK180" s="49"/>
      <c r="AL180" s="50">
        <f t="shared" si="128"/>
        <v>742.2136594183637</v>
      </c>
      <c r="AM180" s="42">
        <f t="shared" si="129"/>
        <v>0.47307339501392626</v>
      </c>
      <c r="AN180" s="42">
        <f t="shared" si="130"/>
        <v>108.70277926230838</v>
      </c>
      <c r="AO180" s="42">
        <f t="shared" si="131"/>
        <v>57.960346715137604</v>
      </c>
      <c r="AP180" s="42">
        <f t="shared" si="143"/>
        <v>50.742432547170786</v>
      </c>
      <c r="AQ180" s="42">
        <f t="shared" si="133"/>
        <v>1.9325612759657926</v>
      </c>
      <c r="AR180" s="42">
        <f t="shared" si="134"/>
        <v>1.1214433504898478</v>
      </c>
      <c r="AS180" s="42">
        <f t="shared" si="135"/>
        <v>462.5862436786875</v>
      </c>
      <c r="AT180" s="42">
        <f t="shared" si="136"/>
        <v>405.24530390012126</v>
      </c>
    </row>
    <row r="181" spans="1:46" s="39" customFormat="1" ht="12.75">
      <c r="A181" s="51" t="s">
        <v>108</v>
      </c>
      <c r="C181" s="47">
        <v>7.7</v>
      </c>
      <c r="D181" s="45">
        <v>23</v>
      </c>
      <c r="E181" s="45">
        <v>0.5</v>
      </c>
      <c r="F181" s="45">
        <f t="shared" si="107"/>
        <v>6</v>
      </c>
      <c r="G181" s="45">
        <f t="shared" si="141"/>
        <v>132</v>
      </c>
      <c r="J181" s="45">
        <v>35.5</v>
      </c>
      <c r="K181" s="45">
        <v>0</v>
      </c>
      <c r="L181" s="45">
        <v>0</v>
      </c>
      <c r="M181" s="45">
        <f t="shared" si="106"/>
        <v>24</v>
      </c>
      <c r="N181" s="45">
        <f t="shared" si="137"/>
        <v>401.2479725830796</v>
      </c>
      <c r="O181" s="45">
        <f t="shared" si="138"/>
        <v>0.9938630330368039</v>
      </c>
      <c r="P181" s="45">
        <f t="shared" si="139"/>
        <v>402.2584000000004</v>
      </c>
      <c r="Q181" s="47">
        <f t="shared" si="142"/>
        <v>6.5944000000000065</v>
      </c>
      <c r="R181" s="40">
        <f t="shared" si="140"/>
        <v>422.35187175386295</v>
      </c>
      <c r="S181" s="48">
        <f t="shared" si="110"/>
        <v>0.9956709956709956</v>
      </c>
      <c r="T181" s="48">
        <f t="shared" si="111"/>
        <v>0.01278772378516624</v>
      </c>
      <c r="U181" s="48">
        <f t="shared" si="112"/>
        <v>0.49382716049382713</v>
      </c>
      <c r="V181" s="48">
        <f t="shared" si="113"/>
        <v>6.586826347305389</v>
      </c>
      <c r="W181" s="48">
        <f t="shared" si="114"/>
        <v>0</v>
      </c>
      <c r="X181" s="48">
        <f t="shared" si="115"/>
        <v>0</v>
      </c>
      <c r="Y181" s="48">
        <f t="shared" si="116"/>
        <v>1</v>
      </c>
      <c r="Z181" s="48">
        <f t="shared" si="117"/>
        <v>0</v>
      </c>
      <c r="AA181" s="48">
        <f t="shared" si="118"/>
        <v>0</v>
      </c>
      <c r="AB181" s="48">
        <f t="shared" si="119"/>
        <v>0.5</v>
      </c>
      <c r="AC181" s="48">
        <f t="shared" si="120"/>
        <v>6.577835616116059</v>
      </c>
      <c r="AD181" s="48">
        <f t="shared" si="121"/>
        <v>0.01656438388394673</v>
      </c>
      <c r="AE181" s="45">
        <f t="shared" si="122"/>
        <v>8.089112227255377</v>
      </c>
      <c r="AF181" s="45">
        <f t="shared" si="123"/>
        <v>8.094400000000006</v>
      </c>
      <c r="AG181" s="45">
        <f t="shared" si="124"/>
        <v>-0.005287772744628327</v>
      </c>
      <c r="AH181" s="40">
        <f t="shared" si="125"/>
        <v>-0.03267382673411863</v>
      </c>
      <c r="AI181" s="45">
        <f t="shared" si="126"/>
        <v>16.183512227255385</v>
      </c>
      <c r="AJ181" s="49">
        <f t="shared" si="127"/>
        <v>820.6612340129811</v>
      </c>
      <c r="AK181" s="49"/>
      <c r="AL181" s="50">
        <f t="shared" si="128"/>
        <v>750.9430158795346</v>
      </c>
      <c r="AM181" s="42">
        <f t="shared" si="129"/>
        <v>0.4729926131708061</v>
      </c>
      <c r="AN181" s="42">
        <f t="shared" si="130"/>
        <v>108.6343097234415</v>
      </c>
      <c r="AO181" s="42">
        <f t="shared" si="131"/>
        <v>57.97439710233039</v>
      </c>
      <c r="AP181" s="42">
        <f t="shared" si="143"/>
        <v>50.65991262111112</v>
      </c>
      <c r="AQ181" s="42">
        <f t="shared" si="133"/>
        <v>1.9335218000680263</v>
      </c>
      <c r="AR181" s="42">
        <f t="shared" si="134"/>
        <v>1.1199782883438085</v>
      </c>
      <c r="AS181" s="42">
        <f t="shared" si="135"/>
        <v>468.9614044682195</v>
      </c>
      <c r="AT181" s="42">
        <f t="shared" si="136"/>
        <v>410.06159672032214</v>
      </c>
    </row>
    <row r="182" spans="1:46" s="39" customFormat="1" ht="12.75">
      <c r="A182" s="51" t="s">
        <v>230</v>
      </c>
      <c r="C182" s="47">
        <v>7.7</v>
      </c>
      <c r="D182" s="45">
        <v>23</v>
      </c>
      <c r="E182" s="45">
        <v>0.5</v>
      </c>
      <c r="F182" s="45">
        <f aca="true" t="shared" si="144" ref="F182:F211">(G182-12)/20</f>
        <v>6.1</v>
      </c>
      <c r="G182" s="45">
        <f aca="true" t="shared" si="145" ref="G182:G211">G181+2</f>
        <v>134</v>
      </c>
      <c r="J182" s="45">
        <v>35.5</v>
      </c>
      <c r="K182" s="45">
        <v>0</v>
      </c>
      <c r="L182" s="45">
        <v>0</v>
      </c>
      <c r="M182" s="45">
        <f t="shared" si="106"/>
        <v>24</v>
      </c>
      <c r="N182" s="45">
        <f aca="true" t="shared" si="146" ref="N182:N211">Q182*61*(1-10^-10.3/10^-C182)</f>
        <v>407.82429201726313</v>
      </c>
      <c r="O182" s="45">
        <f aca="true" t="shared" si="147" ref="O182:O211">Q182*60*10^-10.3/10^-C182</f>
        <v>1.0101521141678573</v>
      </c>
      <c r="P182" s="45">
        <f aca="true" t="shared" si="148" ref="P182:P211">Q182*61</f>
        <v>408.85128000000043</v>
      </c>
      <c r="Q182" s="47">
        <f aca="true" t="shared" si="149" ref="Q182:Q211">Q181+0.193*$Q$19</f>
        <v>6.702480000000007</v>
      </c>
      <c r="R182" s="40">
        <f aca="true" t="shared" si="150" ref="R182:R211">(10^(-C182))*N182/10^-6.4+N182+O182</f>
        <v>429.2740770036443</v>
      </c>
      <c r="S182" s="48">
        <f aca="true" t="shared" si="151" ref="S182:S211">D182/23.1</f>
        <v>0.9956709956709956</v>
      </c>
      <c r="T182" s="48">
        <f aca="true" t="shared" si="152" ref="T182:T211">E182/39.1</f>
        <v>0.01278772378516624</v>
      </c>
      <c r="U182" s="48">
        <f aca="true" t="shared" si="153" ref="U182:U211">F182/12.15</f>
        <v>0.5020576131687242</v>
      </c>
      <c r="V182" s="48">
        <f aca="true" t="shared" si="154" ref="V182:V211">G182/20.04</f>
        <v>6.686626746506986</v>
      </c>
      <c r="W182" s="48">
        <f aca="true" t="shared" si="155" ref="W182:W211">H182/37.85</f>
        <v>0</v>
      </c>
      <c r="X182" s="48">
        <f aca="true" t="shared" si="156" ref="X182:X211">I182/19</f>
        <v>0</v>
      </c>
      <c r="Y182" s="48">
        <f aca="true" t="shared" si="157" ref="Y182:Y211">J182/35.5</f>
        <v>1</v>
      </c>
      <c r="Z182" s="48">
        <f aca="true" t="shared" si="158" ref="Z182:Z211">K182/62</f>
        <v>0</v>
      </c>
      <c r="AA182" s="48">
        <f aca="true" t="shared" si="159" ref="AA182:AA211">L182/48</f>
        <v>0</v>
      </c>
      <c r="AB182" s="48">
        <f aca="true" t="shared" si="160" ref="AB182:AB211">M182/48</f>
        <v>0.5</v>
      </c>
      <c r="AC182" s="48">
        <f aca="true" t="shared" si="161" ref="AC182:AC211">N182/61</f>
        <v>6.685644131430543</v>
      </c>
      <c r="AD182" s="48">
        <f aca="true" t="shared" si="162" ref="AD182:AD211">O182/60</f>
        <v>0.01683586856946429</v>
      </c>
      <c r="AE182" s="45">
        <f aca="true" t="shared" si="163" ref="AE182:AE211">SUM(S182:W182)</f>
        <v>8.197143079131873</v>
      </c>
      <c r="AF182" s="45">
        <f aca="true" t="shared" si="164" ref="AF182:AF211">SUM(X182:AD182)</f>
        <v>8.202480000000007</v>
      </c>
      <c r="AG182" s="45">
        <f aca="true" t="shared" si="165" ref="AG182:AG211">AE182-AF182</f>
        <v>-0.005336920868133532</v>
      </c>
      <c r="AH182" s="40">
        <f aca="true" t="shared" si="166" ref="AH182:AH211">(AE182-AF182)/(AE182+AF182)*100</f>
        <v>-0.03254294834937173</v>
      </c>
      <c r="AI182" s="45">
        <f aca="true" t="shared" si="167" ref="AI182:AI211">AE182+AF182</f>
        <v>16.399623079131878</v>
      </c>
      <c r="AJ182" s="49">
        <f aca="true" t="shared" si="168" ref="AJ182:AJ211">G182*2.6+F182*3.82+E182*1.84+D182*2.13+N182*0.72+O182*2.82+J182*2.14+K182*1.15+M182*1.54</f>
        <v>831.0241192143831</v>
      </c>
      <c r="AK182" s="49"/>
      <c r="AL182" s="50">
        <f aca="true" t="shared" si="169" ref="AL182:AL211">AS182+AT182-(AN182*AQ182*AR182/115.2/(AQ182+AR182)*(2*AM182/(1+AM182^0.5))+0.668)*((AQ182+AR182)*AI182/2)^1.5</f>
        <v>759.6568249873884</v>
      </c>
      <c r="AM182" s="42">
        <f aca="true" t="shared" si="170" ref="AM182:AM211">AQ182*AR182*AN182/(AQ182+AR182)/(AQ182*AP182+AR182*AO182)</f>
        <v>0.47291390546050915</v>
      </c>
      <c r="AN182" s="42">
        <f aca="true" t="shared" si="171" ref="AN182:AN211">AO182+AP182</f>
        <v>108.56764449011794</v>
      </c>
      <c r="AO182" s="42">
        <f aca="true" t="shared" si="172" ref="AO182:AO211">AS182/(S182+T182+U182+V182)</f>
        <v>57.988077147006756</v>
      </c>
      <c r="AP182" s="42">
        <f aca="true" t="shared" si="173" ref="AP182:AP211">AT182/(Y182+Z182+AB182+AC180:AC182+AD182)</f>
        <v>50.579567343111194</v>
      </c>
      <c r="AQ182" s="42">
        <f aca="true" t="shared" si="174" ref="AQ182:AQ211">(S182+T182+U182*4+V182*4)/(S182+T182+U182*2+V182*2)</f>
        <v>1.9344553470739876</v>
      </c>
      <c r="AR182" s="42">
        <f aca="true" t="shared" si="175" ref="AR182:AR211">(Y182+Z182+AB182*4+AC182+AD182*4)/(Y182+Z182+AB182*2+AC182+AD182*2)</f>
        <v>1.1185496376917603</v>
      </c>
      <c r="AS182" s="42">
        <f aca="true" t="shared" si="176" ref="AS182:AS211">S182*S$2+T182*T$2+U182*U$2+V182*V$2</f>
        <v>475.33656525775154</v>
      </c>
      <c r="AT182" s="42">
        <f aca="true" t="shared" si="177" ref="AT182:AT211">Y182*Y$2+Z182*Z$2+AB182*AB$2+AC182*AC$2+AD182*AD$2</f>
        <v>414.87788954052303</v>
      </c>
    </row>
    <row r="183" spans="1:46" s="39" customFormat="1" ht="12.75">
      <c r="A183" s="51" t="s">
        <v>231</v>
      </c>
      <c r="C183" s="47">
        <v>7.7</v>
      </c>
      <c r="D183" s="45">
        <v>23</v>
      </c>
      <c r="E183" s="45">
        <v>0.5</v>
      </c>
      <c r="F183" s="45">
        <f t="shared" si="144"/>
        <v>6.2</v>
      </c>
      <c r="G183" s="45">
        <f t="shared" si="145"/>
        <v>136</v>
      </c>
      <c r="J183" s="45">
        <v>35.5</v>
      </c>
      <c r="K183" s="45">
        <v>0</v>
      </c>
      <c r="L183" s="45">
        <v>0</v>
      </c>
      <c r="M183" s="45">
        <f t="shared" si="106"/>
        <v>24</v>
      </c>
      <c r="N183" s="45">
        <f t="shared" si="146"/>
        <v>414.40061145144654</v>
      </c>
      <c r="O183" s="45">
        <f t="shared" si="147"/>
        <v>1.0264411952989105</v>
      </c>
      <c r="P183" s="45">
        <f t="shared" si="148"/>
        <v>415.4441600000004</v>
      </c>
      <c r="Q183" s="47">
        <f t="shared" si="149"/>
        <v>6.810560000000007</v>
      </c>
      <c r="R183" s="40">
        <f t="shared" si="150"/>
        <v>436.1962822534255</v>
      </c>
      <c r="S183" s="48">
        <f t="shared" si="151"/>
        <v>0.9956709956709956</v>
      </c>
      <c r="T183" s="48">
        <f t="shared" si="152"/>
        <v>0.01278772378516624</v>
      </c>
      <c r="U183" s="48">
        <f t="shared" si="153"/>
        <v>0.5102880658436214</v>
      </c>
      <c r="V183" s="48">
        <f t="shared" si="154"/>
        <v>6.786427145708583</v>
      </c>
      <c r="W183" s="48">
        <f t="shared" si="155"/>
        <v>0</v>
      </c>
      <c r="X183" s="48">
        <f t="shared" si="156"/>
        <v>0</v>
      </c>
      <c r="Y183" s="48">
        <f t="shared" si="157"/>
        <v>1</v>
      </c>
      <c r="Z183" s="48">
        <f t="shared" si="158"/>
        <v>0</v>
      </c>
      <c r="AA183" s="48">
        <f t="shared" si="159"/>
        <v>0</v>
      </c>
      <c r="AB183" s="48">
        <f t="shared" si="160"/>
        <v>0.5</v>
      </c>
      <c r="AC183" s="48">
        <f t="shared" si="161"/>
        <v>6.793452646745025</v>
      </c>
      <c r="AD183" s="48">
        <f t="shared" si="162"/>
        <v>0.017107353254981843</v>
      </c>
      <c r="AE183" s="45">
        <f t="shared" si="163"/>
        <v>8.305173931008365</v>
      </c>
      <c r="AF183" s="45">
        <f t="shared" si="164"/>
        <v>8.310560000000006</v>
      </c>
      <c r="AG183" s="45">
        <f t="shared" si="165"/>
        <v>-0.0053860689916405136</v>
      </c>
      <c r="AH183" s="40">
        <f t="shared" si="166"/>
        <v>-0.032415474477410854</v>
      </c>
      <c r="AI183" s="45">
        <f t="shared" si="167"/>
        <v>16.61573393100837</v>
      </c>
      <c r="AJ183" s="49">
        <f t="shared" si="168"/>
        <v>841.3870044157845</v>
      </c>
      <c r="AK183" s="49"/>
      <c r="AL183" s="50">
        <f t="shared" si="169"/>
        <v>768.3551809767785</v>
      </c>
      <c r="AM183" s="42">
        <f t="shared" si="170"/>
        <v>0.4728371917336726</v>
      </c>
      <c r="AN183" s="42">
        <f t="shared" si="171"/>
        <v>108.50271316939244</v>
      </c>
      <c r="AO183" s="42">
        <f t="shared" si="172"/>
        <v>58.001401301031756</v>
      </c>
      <c r="AP183" s="42">
        <f t="shared" si="173"/>
        <v>50.50131186836068</v>
      </c>
      <c r="AQ183" s="42">
        <f t="shared" si="174"/>
        <v>1.9353630377551412</v>
      </c>
      <c r="AR183" s="42">
        <f t="shared" si="175"/>
        <v>1.117156057781065</v>
      </c>
      <c r="AS183" s="42">
        <f t="shared" si="176"/>
        <v>481.7117260472836</v>
      </c>
      <c r="AT183" s="42">
        <f t="shared" si="177"/>
        <v>419.69418236072386</v>
      </c>
    </row>
    <row r="184" spans="1:46" s="39" customFormat="1" ht="12.75">
      <c r="A184" s="51" t="s">
        <v>232</v>
      </c>
      <c r="C184" s="47">
        <v>7.7</v>
      </c>
      <c r="D184" s="45">
        <v>23</v>
      </c>
      <c r="E184" s="45">
        <v>0.5</v>
      </c>
      <c r="F184" s="45">
        <f t="shared" si="144"/>
        <v>6.3</v>
      </c>
      <c r="G184" s="45">
        <f t="shared" si="145"/>
        <v>138</v>
      </c>
      <c r="J184" s="45">
        <v>35.5</v>
      </c>
      <c r="K184" s="45">
        <v>0</v>
      </c>
      <c r="L184" s="45">
        <v>0</v>
      </c>
      <c r="M184" s="45">
        <f t="shared" si="106"/>
        <v>24</v>
      </c>
      <c r="N184" s="45">
        <f t="shared" si="146"/>
        <v>420.97693088563</v>
      </c>
      <c r="O184" s="45">
        <f t="shared" si="147"/>
        <v>1.0427302764299637</v>
      </c>
      <c r="P184" s="45">
        <f t="shared" si="148"/>
        <v>422.03704000000045</v>
      </c>
      <c r="Q184" s="47">
        <f t="shared" si="149"/>
        <v>6.918640000000007</v>
      </c>
      <c r="R184" s="40">
        <f t="shared" si="150"/>
        <v>443.11848750320684</v>
      </c>
      <c r="S184" s="48">
        <f t="shared" si="151"/>
        <v>0.9956709956709956</v>
      </c>
      <c r="T184" s="48">
        <f t="shared" si="152"/>
        <v>0.01278772378516624</v>
      </c>
      <c r="U184" s="48">
        <f t="shared" si="153"/>
        <v>0.5185185185185185</v>
      </c>
      <c r="V184" s="48">
        <f t="shared" si="154"/>
        <v>6.88622754491018</v>
      </c>
      <c r="W184" s="48">
        <f t="shared" si="155"/>
        <v>0</v>
      </c>
      <c r="X184" s="48">
        <f t="shared" si="156"/>
        <v>0</v>
      </c>
      <c r="Y184" s="48">
        <f t="shared" si="157"/>
        <v>1</v>
      </c>
      <c r="Z184" s="48">
        <f t="shared" si="158"/>
        <v>0</v>
      </c>
      <c r="AA184" s="48">
        <f t="shared" si="159"/>
        <v>0</v>
      </c>
      <c r="AB184" s="48">
        <f t="shared" si="160"/>
        <v>0.5</v>
      </c>
      <c r="AC184" s="48">
        <f t="shared" si="161"/>
        <v>6.901261162059508</v>
      </c>
      <c r="AD184" s="48">
        <f t="shared" si="162"/>
        <v>0.017378837940499395</v>
      </c>
      <c r="AE184" s="45">
        <f t="shared" si="163"/>
        <v>8.413204782884861</v>
      </c>
      <c r="AF184" s="45">
        <f t="shared" si="164"/>
        <v>8.418640000000009</v>
      </c>
      <c r="AG184" s="45">
        <f t="shared" si="165"/>
        <v>-0.005435217115147495</v>
      </c>
      <c r="AH184" s="40">
        <f t="shared" si="166"/>
        <v>-0.03229127398248223</v>
      </c>
      <c r="AI184" s="45">
        <f t="shared" si="167"/>
        <v>16.831844782884872</v>
      </c>
      <c r="AJ184" s="49">
        <f t="shared" si="168"/>
        <v>851.7498896171861</v>
      </c>
      <c r="AK184" s="49"/>
      <c r="AL184" s="50">
        <f t="shared" si="169"/>
        <v>777.0381764579067</v>
      </c>
      <c r="AM184" s="42">
        <f t="shared" si="170"/>
        <v>0.47276239597275266</v>
      </c>
      <c r="AN184" s="42">
        <f t="shared" si="171"/>
        <v>108.43944898304653</v>
      </c>
      <c r="AO184" s="42">
        <f t="shared" si="172"/>
        <v>58.01438327398613</v>
      </c>
      <c r="AP184" s="42">
        <f t="shared" si="173"/>
        <v>50.4250657090604</v>
      </c>
      <c r="AQ184" s="42">
        <f t="shared" si="174"/>
        <v>1.93624593164726</v>
      </c>
      <c r="AR184" s="42">
        <f t="shared" si="175"/>
        <v>1.1157962728869406</v>
      </c>
      <c r="AS184" s="42">
        <f t="shared" si="176"/>
        <v>488.0868868368156</v>
      </c>
      <c r="AT184" s="42">
        <f t="shared" si="177"/>
        <v>424.5104751809247</v>
      </c>
    </row>
    <row r="185" spans="1:46" s="39" customFormat="1" ht="12.75">
      <c r="A185" s="51" t="s">
        <v>233</v>
      </c>
      <c r="C185" s="47">
        <v>7.7</v>
      </c>
      <c r="D185" s="45">
        <v>23</v>
      </c>
      <c r="E185" s="45">
        <v>0.5</v>
      </c>
      <c r="F185" s="45">
        <f t="shared" si="144"/>
        <v>6.4</v>
      </c>
      <c r="G185" s="45">
        <f t="shared" si="145"/>
        <v>140</v>
      </c>
      <c r="J185" s="45">
        <v>35.5</v>
      </c>
      <c r="K185" s="45">
        <v>0</v>
      </c>
      <c r="L185" s="45">
        <v>0</v>
      </c>
      <c r="M185" s="45">
        <f t="shared" si="106"/>
        <v>24</v>
      </c>
      <c r="N185" s="45">
        <f t="shared" si="146"/>
        <v>427.5532503198134</v>
      </c>
      <c r="O185" s="45">
        <f t="shared" si="147"/>
        <v>1.059019357561017</v>
      </c>
      <c r="P185" s="45">
        <f t="shared" si="148"/>
        <v>428.6299200000004</v>
      </c>
      <c r="Q185" s="47">
        <f t="shared" si="149"/>
        <v>7.026720000000007</v>
      </c>
      <c r="R185" s="40">
        <f t="shared" si="150"/>
        <v>450.04069275298804</v>
      </c>
      <c r="S185" s="48">
        <f t="shared" si="151"/>
        <v>0.9956709956709956</v>
      </c>
      <c r="T185" s="48">
        <f t="shared" si="152"/>
        <v>0.01278772378516624</v>
      </c>
      <c r="U185" s="48">
        <f t="shared" si="153"/>
        <v>0.5267489711934157</v>
      </c>
      <c r="V185" s="48">
        <f t="shared" si="154"/>
        <v>6.986027944111777</v>
      </c>
      <c r="W185" s="48">
        <f t="shared" si="155"/>
        <v>0</v>
      </c>
      <c r="X185" s="48">
        <f t="shared" si="156"/>
        <v>0</v>
      </c>
      <c r="Y185" s="48">
        <f t="shared" si="157"/>
        <v>1</v>
      </c>
      <c r="Z185" s="48">
        <f t="shared" si="158"/>
        <v>0</v>
      </c>
      <c r="AA185" s="48">
        <f t="shared" si="159"/>
        <v>0</v>
      </c>
      <c r="AB185" s="48">
        <f t="shared" si="160"/>
        <v>0.5</v>
      </c>
      <c r="AC185" s="48">
        <f t="shared" si="161"/>
        <v>7.00906967737399</v>
      </c>
      <c r="AD185" s="48">
        <f t="shared" si="162"/>
        <v>0.01765032262601695</v>
      </c>
      <c r="AE185" s="45">
        <f t="shared" si="163"/>
        <v>8.521235634761355</v>
      </c>
      <c r="AF185" s="45">
        <f t="shared" si="164"/>
        <v>8.526720000000006</v>
      </c>
      <c r="AG185" s="45">
        <f t="shared" si="165"/>
        <v>-0.005484365238650923</v>
      </c>
      <c r="AH185" s="40">
        <f t="shared" si="166"/>
        <v>-0.032170222378266375</v>
      </c>
      <c r="AI185" s="45">
        <f t="shared" si="167"/>
        <v>17.04795563476136</v>
      </c>
      <c r="AJ185" s="49">
        <f t="shared" si="168"/>
        <v>862.1127748185877</v>
      </c>
      <c r="AK185" s="49"/>
      <c r="AL185" s="50">
        <f t="shared" si="169"/>
        <v>785.705902459558</v>
      </c>
      <c r="AM185" s="42">
        <f t="shared" si="170"/>
        <v>0.47268944602636026</v>
      </c>
      <c r="AN185" s="42">
        <f t="shared" si="171"/>
        <v>108.37778853850635</v>
      </c>
      <c r="AO185" s="42">
        <f t="shared" si="172"/>
        <v>58.02703608021932</v>
      </c>
      <c r="AP185" s="42">
        <f t="shared" si="173"/>
        <v>50.35075245828703</v>
      </c>
      <c r="AQ185" s="42">
        <f t="shared" si="174"/>
        <v>1.937105031176243</v>
      </c>
      <c r="AR185" s="42">
        <f t="shared" si="175"/>
        <v>1.114469068417295</v>
      </c>
      <c r="AS185" s="42">
        <f t="shared" si="176"/>
        <v>494.4620476263477</v>
      </c>
      <c r="AT185" s="42">
        <f t="shared" si="177"/>
        <v>429.3267680011255</v>
      </c>
    </row>
    <row r="186" spans="1:46" s="39" customFormat="1" ht="12.75">
      <c r="A186" s="51" t="s">
        <v>234</v>
      </c>
      <c r="C186" s="47">
        <v>7.7</v>
      </c>
      <c r="D186" s="45">
        <v>23</v>
      </c>
      <c r="E186" s="45">
        <v>0.5</v>
      </c>
      <c r="F186" s="45">
        <f t="shared" si="144"/>
        <v>6.5</v>
      </c>
      <c r="G186" s="45">
        <f t="shared" si="145"/>
        <v>142</v>
      </c>
      <c r="J186" s="45">
        <v>35.5</v>
      </c>
      <c r="K186" s="45">
        <v>0</v>
      </c>
      <c r="L186" s="45">
        <v>0</v>
      </c>
      <c r="M186" s="45">
        <f t="shared" si="106"/>
        <v>24</v>
      </c>
      <c r="N186" s="45">
        <f t="shared" si="146"/>
        <v>434.12956975399686</v>
      </c>
      <c r="O186" s="45">
        <f t="shared" si="147"/>
        <v>1.0753084386920704</v>
      </c>
      <c r="P186" s="45">
        <f t="shared" si="148"/>
        <v>435.22280000000046</v>
      </c>
      <c r="Q186" s="47">
        <f t="shared" si="149"/>
        <v>7.134800000000007</v>
      </c>
      <c r="R186" s="40">
        <f t="shared" si="150"/>
        <v>456.9628980027693</v>
      </c>
      <c r="S186" s="48">
        <f t="shared" si="151"/>
        <v>0.9956709956709956</v>
      </c>
      <c r="T186" s="48">
        <f t="shared" si="152"/>
        <v>0.01278772378516624</v>
      </c>
      <c r="U186" s="48">
        <f t="shared" si="153"/>
        <v>0.5349794238683128</v>
      </c>
      <c r="V186" s="48">
        <f t="shared" si="154"/>
        <v>7.0858283433133735</v>
      </c>
      <c r="W186" s="48">
        <f t="shared" si="155"/>
        <v>0</v>
      </c>
      <c r="X186" s="48">
        <f t="shared" si="156"/>
        <v>0</v>
      </c>
      <c r="Y186" s="48">
        <f t="shared" si="157"/>
        <v>1</v>
      </c>
      <c r="Z186" s="48">
        <f t="shared" si="158"/>
        <v>0</v>
      </c>
      <c r="AA186" s="48">
        <f t="shared" si="159"/>
        <v>0</v>
      </c>
      <c r="AB186" s="48">
        <f t="shared" si="160"/>
        <v>0.5</v>
      </c>
      <c r="AC186" s="48">
        <f t="shared" si="161"/>
        <v>7.116878192688473</v>
      </c>
      <c r="AD186" s="48">
        <f t="shared" si="162"/>
        <v>0.017921807311534508</v>
      </c>
      <c r="AE186" s="45">
        <f t="shared" si="163"/>
        <v>8.629266486637848</v>
      </c>
      <c r="AF186" s="45">
        <f t="shared" si="164"/>
        <v>8.634800000000007</v>
      </c>
      <c r="AG186" s="45">
        <f t="shared" si="165"/>
        <v>-0.005533513362159681</v>
      </c>
      <c r="AH186" s="40">
        <f t="shared" si="166"/>
        <v>-0.03205220141177365</v>
      </c>
      <c r="AI186" s="45">
        <f t="shared" si="167"/>
        <v>17.264066486637855</v>
      </c>
      <c r="AJ186" s="49">
        <f t="shared" si="168"/>
        <v>872.4756600199894</v>
      </c>
      <c r="AK186" s="49"/>
      <c r="AL186" s="50">
        <f t="shared" si="169"/>
        <v>794.3584484709186</v>
      </c>
      <c r="AM186" s="42">
        <f t="shared" si="170"/>
        <v>0.4726182733639993</v>
      </c>
      <c r="AN186" s="42">
        <f t="shared" si="171"/>
        <v>108.31767161696328</v>
      </c>
      <c r="AO186" s="42">
        <f t="shared" si="172"/>
        <v>58.03937208236768</v>
      </c>
      <c r="AP186" s="42">
        <f t="shared" si="173"/>
        <v>50.2782995345956</v>
      </c>
      <c r="AQ186" s="42">
        <f t="shared" si="174"/>
        <v>1.9379412854547957</v>
      </c>
      <c r="AR186" s="42">
        <f t="shared" si="175"/>
        <v>1.113173287294234</v>
      </c>
      <c r="AS186" s="42">
        <f t="shared" si="176"/>
        <v>500.83720841587973</v>
      </c>
      <c r="AT186" s="42">
        <f t="shared" si="177"/>
        <v>434.1430608213264</v>
      </c>
    </row>
    <row r="187" spans="1:46" s="39" customFormat="1" ht="12.75">
      <c r="A187" s="51" t="s">
        <v>235</v>
      </c>
      <c r="C187" s="47">
        <v>7.7</v>
      </c>
      <c r="D187" s="45">
        <v>23</v>
      </c>
      <c r="E187" s="45">
        <v>0.5</v>
      </c>
      <c r="F187" s="45">
        <f t="shared" si="144"/>
        <v>6.6</v>
      </c>
      <c r="G187" s="45">
        <f t="shared" si="145"/>
        <v>144</v>
      </c>
      <c r="J187" s="45">
        <v>35.5</v>
      </c>
      <c r="K187" s="45">
        <v>0</v>
      </c>
      <c r="L187" s="45">
        <v>0</v>
      </c>
      <c r="M187" s="45">
        <f t="shared" si="106"/>
        <v>24</v>
      </c>
      <c r="N187" s="45">
        <f t="shared" si="146"/>
        <v>440.70588918818027</v>
      </c>
      <c r="O187" s="45">
        <f t="shared" si="147"/>
        <v>1.0915975198231238</v>
      </c>
      <c r="P187" s="45">
        <f t="shared" si="148"/>
        <v>441.81568000000044</v>
      </c>
      <c r="Q187" s="47">
        <f t="shared" si="149"/>
        <v>7.2428800000000075</v>
      </c>
      <c r="R187" s="40">
        <f t="shared" si="150"/>
        <v>463.88510325255055</v>
      </c>
      <c r="S187" s="48">
        <f t="shared" si="151"/>
        <v>0.9956709956709956</v>
      </c>
      <c r="T187" s="48">
        <f t="shared" si="152"/>
        <v>0.01278772378516624</v>
      </c>
      <c r="U187" s="48">
        <f t="shared" si="153"/>
        <v>0.5432098765432098</v>
      </c>
      <c r="V187" s="48">
        <f t="shared" si="154"/>
        <v>7.185628742514971</v>
      </c>
      <c r="W187" s="48">
        <f t="shared" si="155"/>
        <v>0</v>
      </c>
      <c r="X187" s="48">
        <f t="shared" si="156"/>
        <v>0</v>
      </c>
      <c r="Y187" s="48">
        <f t="shared" si="157"/>
        <v>1</v>
      </c>
      <c r="Z187" s="48">
        <f t="shared" si="158"/>
        <v>0</v>
      </c>
      <c r="AA187" s="48">
        <f t="shared" si="159"/>
        <v>0</v>
      </c>
      <c r="AB187" s="48">
        <f t="shared" si="160"/>
        <v>0.5</v>
      </c>
      <c r="AC187" s="48">
        <f t="shared" si="161"/>
        <v>7.224686708002955</v>
      </c>
      <c r="AD187" s="48">
        <f t="shared" si="162"/>
        <v>0.018193291997052063</v>
      </c>
      <c r="AE187" s="45">
        <f t="shared" si="163"/>
        <v>8.737297338514342</v>
      </c>
      <c r="AF187" s="45">
        <f t="shared" si="164"/>
        <v>8.742880000000008</v>
      </c>
      <c r="AG187" s="45">
        <f t="shared" si="165"/>
        <v>-0.005582661485666662</v>
      </c>
      <c r="AH187" s="40">
        <f t="shared" si="166"/>
        <v>-0.03193709867786236</v>
      </c>
      <c r="AI187" s="45">
        <f t="shared" si="167"/>
        <v>17.480177338514352</v>
      </c>
      <c r="AJ187" s="49">
        <f t="shared" si="168"/>
        <v>882.8385452213911</v>
      </c>
      <c r="AK187" s="49"/>
      <c r="AL187" s="50">
        <f t="shared" si="169"/>
        <v>802.9959024820266</v>
      </c>
      <c r="AM187" s="42">
        <f t="shared" si="170"/>
        <v>0.47254881284938854</v>
      </c>
      <c r="AN187" s="42">
        <f t="shared" si="171"/>
        <v>108.25904097721022</v>
      </c>
      <c r="AO187" s="42">
        <f t="shared" si="172"/>
        <v>58.051403031644604</v>
      </c>
      <c r="AP187" s="42">
        <f t="shared" si="173"/>
        <v>50.20763794556562</v>
      </c>
      <c r="AQ187" s="42">
        <f t="shared" si="174"/>
        <v>1.938755593780192</v>
      </c>
      <c r="AR187" s="42">
        <f t="shared" si="175"/>
        <v>1.1119078265895697</v>
      </c>
      <c r="AS187" s="42">
        <f t="shared" si="176"/>
        <v>507.2123692054118</v>
      </c>
      <c r="AT187" s="42">
        <f t="shared" si="177"/>
        <v>438.9593536415272</v>
      </c>
    </row>
    <row r="188" spans="1:46" s="39" customFormat="1" ht="12.75">
      <c r="A188" s="51" t="s">
        <v>236</v>
      </c>
      <c r="C188" s="47">
        <v>7.7</v>
      </c>
      <c r="D188" s="45">
        <v>23</v>
      </c>
      <c r="E188" s="45">
        <v>0.5</v>
      </c>
      <c r="F188" s="45">
        <f t="shared" si="144"/>
        <v>6.7</v>
      </c>
      <c r="G188" s="45">
        <f t="shared" si="145"/>
        <v>146</v>
      </c>
      <c r="J188" s="45">
        <v>35.5</v>
      </c>
      <c r="K188" s="45">
        <v>0</v>
      </c>
      <c r="L188" s="45">
        <v>0</v>
      </c>
      <c r="M188" s="45">
        <f t="shared" si="106"/>
        <v>24</v>
      </c>
      <c r="N188" s="45">
        <f t="shared" si="146"/>
        <v>447.2822086223637</v>
      </c>
      <c r="O188" s="45">
        <f t="shared" si="147"/>
        <v>1.107886600954177</v>
      </c>
      <c r="P188" s="45">
        <f t="shared" si="148"/>
        <v>448.4085600000005</v>
      </c>
      <c r="Q188" s="47">
        <f t="shared" si="149"/>
        <v>7.350960000000008</v>
      </c>
      <c r="R188" s="40">
        <f t="shared" si="150"/>
        <v>470.80730850233186</v>
      </c>
      <c r="S188" s="48">
        <f t="shared" si="151"/>
        <v>0.9956709956709956</v>
      </c>
      <c r="T188" s="48">
        <f t="shared" si="152"/>
        <v>0.01278772378516624</v>
      </c>
      <c r="U188" s="48">
        <f t="shared" si="153"/>
        <v>0.551440329218107</v>
      </c>
      <c r="V188" s="48">
        <f t="shared" si="154"/>
        <v>7.285429141716567</v>
      </c>
      <c r="W188" s="48">
        <f t="shared" si="155"/>
        <v>0</v>
      </c>
      <c r="X188" s="48">
        <f t="shared" si="156"/>
        <v>0</v>
      </c>
      <c r="Y188" s="48">
        <f t="shared" si="157"/>
        <v>1</v>
      </c>
      <c r="Z188" s="48">
        <f t="shared" si="158"/>
        <v>0</v>
      </c>
      <c r="AA188" s="48">
        <f t="shared" si="159"/>
        <v>0</v>
      </c>
      <c r="AB188" s="48">
        <f t="shared" si="160"/>
        <v>0.5</v>
      </c>
      <c r="AC188" s="48">
        <f t="shared" si="161"/>
        <v>7.332495223317438</v>
      </c>
      <c r="AD188" s="48">
        <f t="shared" si="162"/>
        <v>0.018464776682569618</v>
      </c>
      <c r="AE188" s="45">
        <f t="shared" si="163"/>
        <v>8.845328190390836</v>
      </c>
      <c r="AF188" s="45">
        <f t="shared" si="164"/>
        <v>8.850960000000006</v>
      </c>
      <c r="AG188" s="45">
        <f t="shared" si="165"/>
        <v>-0.005631809609170091</v>
      </c>
      <c r="AH188" s="40">
        <f t="shared" si="166"/>
        <v>-0.031824807262283324</v>
      </c>
      <c r="AI188" s="45">
        <f t="shared" si="167"/>
        <v>17.696288190390842</v>
      </c>
      <c r="AJ188" s="49">
        <f t="shared" si="168"/>
        <v>893.2014304227927</v>
      </c>
      <c r="AK188" s="49"/>
      <c r="AL188" s="50">
        <f t="shared" si="169"/>
        <v>811.6183510228943</v>
      </c>
      <c r="AM188" s="42">
        <f t="shared" si="170"/>
        <v>0.4724810025307385</v>
      </c>
      <c r="AN188" s="42">
        <f t="shared" si="171"/>
        <v>108.20184217384941</v>
      </c>
      <c r="AO188" s="42">
        <f t="shared" si="172"/>
        <v>58.06314010517802</v>
      </c>
      <c r="AP188" s="42">
        <f t="shared" si="173"/>
        <v>50.13870206867139</v>
      </c>
      <c r="AQ188" s="42">
        <f t="shared" si="174"/>
        <v>1.9395488088602328</v>
      </c>
      <c r="AR188" s="42">
        <f t="shared" si="175"/>
        <v>1.1106716343937908</v>
      </c>
      <c r="AS188" s="42">
        <f t="shared" si="176"/>
        <v>513.5875299949439</v>
      </c>
      <c r="AT188" s="42">
        <f t="shared" si="177"/>
        <v>443.77564646172806</v>
      </c>
    </row>
    <row r="189" spans="1:46" s="39" customFormat="1" ht="12.75">
      <c r="A189" s="51" t="s">
        <v>237</v>
      </c>
      <c r="C189" s="47">
        <v>7.7</v>
      </c>
      <c r="D189" s="45">
        <v>23</v>
      </c>
      <c r="E189" s="45">
        <v>0.5</v>
      </c>
      <c r="F189" s="45">
        <f t="shared" si="144"/>
        <v>6.8</v>
      </c>
      <c r="G189" s="45">
        <f t="shared" si="145"/>
        <v>148</v>
      </c>
      <c r="J189" s="45">
        <v>35.5</v>
      </c>
      <c r="K189" s="45">
        <v>0</v>
      </c>
      <c r="L189" s="45">
        <v>0</v>
      </c>
      <c r="M189" s="45">
        <f aca="true" t="shared" si="178" ref="M189:M211">9.6*2.5</f>
        <v>24</v>
      </c>
      <c r="N189" s="45">
        <f t="shared" si="146"/>
        <v>453.85852805654713</v>
      </c>
      <c r="O189" s="45">
        <f t="shared" si="147"/>
        <v>1.1241756820852302</v>
      </c>
      <c r="P189" s="45">
        <f t="shared" si="148"/>
        <v>455.00144000000046</v>
      </c>
      <c r="Q189" s="47">
        <f t="shared" si="149"/>
        <v>7.459040000000008</v>
      </c>
      <c r="R189" s="40">
        <f t="shared" si="150"/>
        <v>477.72951375211306</v>
      </c>
      <c r="S189" s="48">
        <f t="shared" si="151"/>
        <v>0.9956709956709956</v>
      </c>
      <c r="T189" s="48">
        <f t="shared" si="152"/>
        <v>0.01278772378516624</v>
      </c>
      <c r="U189" s="48">
        <f t="shared" si="153"/>
        <v>0.5596707818930041</v>
      </c>
      <c r="V189" s="48">
        <f t="shared" si="154"/>
        <v>7.385229540918164</v>
      </c>
      <c r="W189" s="48">
        <f t="shared" si="155"/>
        <v>0</v>
      </c>
      <c r="X189" s="48">
        <f t="shared" si="156"/>
        <v>0</v>
      </c>
      <c r="Y189" s="48">
        <f t="shared" si="157"/>
        <v>1</v>
      </c>
      <c r="Z189" s="48">
        <f t="shared" si="158"/>
        <v>0</v>
      </c>
      <c r="AA189" s="48">
        <f t="shared" si="159"/>
        <v>0</v>
      </c>
      <c r="AB189" s="48">
        <f t="shared" si="160"/>
        <v>0.5</v>
      </c>
      <c r="AC189" s="48">
        <f t="shared" si="161"/>
        <v>7.44030373863192</v>
      </c>
      <c r="AD189" s="48">
        <f t="shared" si="162"/>
        <v>0.01873626136808717</v>
      </c>
      <c r="AE189" s="45">
        <f t="shared" si="163"/>
        <v>8.95335904226733</v>
      </c>
      <c r="AF189" s="45">
        <f t="shared" si="164"/>
        <v>8.959040000000007</v>
      </c>
      <c r="AG189" s="45">
        <f t="shared" si="165"/>
        <v>-0.005680957732677072</v>
      </c>
      <c r="AH189" s="40">
        <f t="shared" si="166"/>
        <v>-0.031715225410465064</v>
      </c>
      <c r="AI189" s="45">
        <f t="shared" si="167"/>
        <v>17.91239904226734</v>
      </c>
      <c r="AJ189" s="49">
        <f t="shared" si="168"/>
        <v>903.5643156241944</v>
      </c>
      <c r="AK189" s="49"/>
      <c r="AL189" s="50">
        <f t="shared" si="169"/>
        <v>820.2258792013486</v>
      </c>
      <c r="AM189" s="42">
        <f t="shared" si="170"/>
        <v>0.47241478344651255</v>
      </c>
      <c r="AN189" s="42">
        <f t="shared" si="171"/>
        <v>108.14602338865807</v>
      </c>
      <c r="AO189" s="42">
        <f t="shared" si="172"/>
        <v>58.074593940644824</v>
      </c>
      <c r="AP189" s="42">
        <f t="shared" si="173"/>
        <v>50.07142944801324</v>
      </c>
      <c r="AQ189" s="42">
        <f t="shared" si="174"/>
        <v>1.9403217397917196</v>
      </c>
      <c r="AR189" s="42">
        <f t="shared" si="175"/>
        <v>1.109463706899789</v>
      </c>
      <c r="AS189" s="42">
        <f t="shared" si="176"/>
        <v>519.9626907844759</v>
      </c>
      <c r="AT189" s="42">
        <f t="shared" si="177"/>
        <v>448.5919392819289</v>
      </c>
    </row>
    <row r="190" spans="1:46" s="39" customFormat="1" ht="12.75">
      <c r="A190" s="51" t="s">
        <v>238</v>
      </c>
      <c r="C190" s="47">
        <v>7.7</v>
      </c>
      <c r="D190" s="45">
        <v>23</v>
      </c>
      <c r="E190" s="45">
        <v>0.5</v>
      </c>
      <c r="F190" s="45">
        <f t="shared" si="144"/>
        <v>6.9</v>
      </c>
      <c r="G190" s="45">
        <f t="shared" si="145"/>
        <v>150</v>
      </c>
      <c r="J190" s="45">
        <v>35.5</v>
      </c>
      <c r="K190" s="45">
        <v>0</v>
      </c>
      <c r="L190" s="45">
        <v>0</v>
      </c>
      <c r="M190" s="45">
        <f t="shared" si="178"/>
        <v>24</v>
      </c>
      <c r="N190" s="45">
        <f t="shared" si="146"/>
        <v>460.4348474907306</v>
      </c>
      <c r="O190" s="45">
        <f t="shared" si="147"/>
        <v>1.1404647632162837</v>
      </c>
      <c r="P190" s="45">
        <f t="shared" si="148"/>
        <v>461.5943200000005</v>
      </c>
      <c r="Q190" s="47">
        <f t="shared" si="149"/>
        <v>7.567120000000008</v>
      </c>
      <c r="R190" s="40">
        <f t="shared" si="150"/>
        <v>484.6517190018944</v>
      </c>
      <c r="S190" s="48">
        <f t="shared" si="151"/>
        <v>0.9956709956709956</v>
      </c>
      <c r="T190" s="48">
        <f t="shared" si="152"/>
        <v>0.01278772378516624</v>
      </c>
      <c r="U190" s="48">
        <f t="shared" si="153"/>
        <v>0.5679012345679012</v>
      </c>
      <c r="V190" s="48">
        <f t="shared" si="154"/>
        <v>7.485029940119761</v>
      </c>
      <c r="W190" s="48">
        <f t="shared" si="155"/>
        <v>0</v>
      </c>
      <c r="X190" s="48">
        <f t="shared" si="156"/>
        <v>0</v>
      </c>
      <c r="Y190" s="48">
        <f t="shared" si="157"/>
        <v>1</v>
      </c>
      <c r="Z190" s="48">
        <f t="shared" si="158"/>
        <v>0</v>
      </c>
      <c r="AA190" s="48">
        <f t="shared" si="159"/>
        <v>0</v>
      </c>
      <c r="AB190" s="48">
        <f t="shared" si="160"/>
        <v>0.5</v>
      </c>
      <c r="AC190" s="48">
        <f t="shared" si="161"/>
        <v>7.548112253946403</v>
      </c>
      <c r="AD190" s="48">
        <f t="shared" si="162"/>
        <v>0.019007746053604727</v>
      </c>
      <c r="AE190" s="45">
        <f t="shared" si="163"/>
        <v>9.061389894143824</v>
      </c>
      <c r="AF190" s="45">
        <f t="shared" si="164"/>
        <v>9.067120000000008</v>
      </c>
      <c r="AG190" s="45">
        <f t="shared" si="165"/>
        <v>-0.0057301058561840534</v>
      </c>
      <c r="AH190" s="40">
        <f t="shared" si="166"/>
        <v>-0.031608256219862206</v>
      </c>
      <c r="AI190" s="45">
        <f t="shared" si="167"/>
        <v>18.128509894143832</v>
      </c>
      <c r="AJ190" s="49">
        <f t="shared" si="168"/>
        <v>913.927200825596</v>
      </c>
      <c r="AK190" s="49"/>
      <c r="AL190" s="50">
        <f t="shared" si="169"/>
        <v>828.8185707396312</v>
      </c>
      <c r="AM190" s="42">
        <f t="shared" si="170"/>
        <v>0.4723500994453448</v>
      </c>
      <c r="AN190" s="42">
        <f t="shared" si="171"/>
        <v>108.09153527401483</v>
      </c>
      <c r="AO190" s="42">
        <f t="shared" si="172"/>
        <v>58.0857746684279</v>
      </c>
      <c r="AP190" s="42">
        <f t="shared" si="173"/>
        <v>50.00576060558692</v>
      </c>
      <c r="AQ190" s="42">
        <f t="shared" si="174"/>
        <v>1.9410751548133123</v>
      </c>
      <c r="AR190" s="42">
        <f t="shared" si="175"/>
        <v>1.1082830856843668</v>
      </c>
      <c r="AS190" s="42">
        <f t="shared" si="176"/>
        <v>526.3378515740079</v>
      </c>
      <c r="AT190" s="42">
        <f t="shared" si="177"/>
        <v>453.4082321021297</v>
      </c>
    </row>
    <row r="191" spans="1:46" s="39" customFormat="1" ht="12.75">
      <c r="A191" s="51" t="s">
        <v>239</v>
      </c>
      <c r="C191" s="47">
        <v>7.7</v>
      </c>
      <c r="D191" s="45">
        <v>23</v>
      </c>
      <c r="E191" s="45">
        <v>0.5</v>
      </c>
      <c r="F191" s="45">
        <f t="shared" si="144"/>
        <v>7</v>
      </c>
      <c r="G191" s="45">
        <f t="shared" si="145"/>
        <v>152</v>
      </c>
      <c r="J191" s="45">
        <v>35.5</v>
      </c>
      <c r="K191" s="45">
        <v>0</v>
      </c>
      <c r="L191" s="45">
        <v>0</v>
      </c>
      <c r="M191" s="45">
        <f t="shared" si="178"/>
        <v>24</v>
      </c>
      <c r="N191" s="45">
        <f t="shared" si="146"/>
        <v>467.01116692491405</v>
      </c>
      <c r="O191" s="45">
        <f t="shared" si="147"/>
        <v>1.1567538443473369</v>
      </c>
      <c r="P191" s="45">
        <f t="shared" si="148"/>
        <v>468.18720000000053</v>
      </c>
      <c r="Q191" s="47">
        <f t="shared" si="149"/>
        <v>7.675200000000008</v>
      </c>
      <c r="R191" s="40">
        <f t="shared" si="150"/>
        <v>491.57392425167563</v>
      </c>
      <c r="S191" s="48">
        <f t="shared" si="151"/>
        <v>0.9956709956709956</v>
      </c>
      <c r="T191" s="48">
        <f t="shared" si="152"/>
        <v>0.01278772378516624</v>
      </c>
      <c r="U191" s="48">
        <f t="shared" si="153"/>
        <v>0.5761316872427983</v>
      </c>
      <c r="V191" s="48">
        <f t="shared" si="154"/>
        <v>7.584830339321358</v>
      </c>
      <c r="W191" s="48">
        <f t="shared" si="155"/>
        <v>0</v>
      </c>
      <c r="X191" s="48">
        <f t="shared" si="156"/>
        <v>0</v>
      </c>
      <c r="Y191" s="48">
        <f t="shared" si="157"/>
        <v>1</v>
      </c>
      <c r="Z191" s="48">
        <f t="shared" si="158"/>
        <v>0</v>
      </c>
      <c r="AA191" s="48">
        <f t="shared" si="159"/>
        <v>0</v>
      </c>
      <c r="AB191" s="48">
        <f t="shared" si="160"/>
        <v>0.5</v>
      </c>
      <c r="AC191" s="48">
        <f t="shared" si="161"/>
        <v>7.655920769260886</v>
      </c>
      <c r="AD191" s="48">
        <f t="shared" si="162"/>
        <v>0.019279230739122282</v>
      </c>
      <c r="AE191" s="45">
        <f t="shared" si="163"/>
        <v>9.169420746020318</v>
      </c>
      <c r="AF191" s="45">
        <f t="shared" si="164"/>
        <v>9.17520000000001</v>
      </c>
      <c r="AG191" s="45">
        <f t="shared" si="165"/>
        <v>-0.005779253979691035</v>
      </c>
      <c r="AH191" s="40">
        <f t="shared" si="166"/>
        <v>-0.031503807354233714</v>
      </c>
      <c r="AI191" s="45">
        <f t="shared" si="167"/>
        <v>18.344620746020325</v>
      </c>
      <c r="AJ191" s="49">
        <f t="shared" si="168"/>
        <v>924.2900860269976</v>
      </c>
      <c r="AK191" s="49"/>
      <c r="AL191" s="50">
        <f t="shared" si="169"/>
        <v>837.3965080098035</v>
      </c>
      <c r="AM191" s="42">
        <f t="shared" si="170"/>
        <v>0.47228689701892157</v>
      </c>
      <c r="AN191" s="42">
        <f t="shared" si="171"/>
        <v>108.03833080739159</v>
      </c>
      <c r="AO191" s="42">
        <f t="shared" si="172"/>
        <v>58.09669194149983</v>
      </c>
      <c r="AP191" s="42">
        <f t="shared" si="173"/>
        <v>49.94163886589177</v>
      </c>
      <c r="AQ191" s="42">
        <f t="shared" si="174"/>
        <v>1.9418097838524675</v>
      </c>
      <c r="AR191" s="42">
        <f t="shared" si="175"/>
        <v>1.1071288551720444</v>
      </c>
      <c r="AS191" s="42">
        <f t="shared" si="176"/>
        <v>532.71301236354</v>
      </c>
      <c r="AT191" s="42">
        <f t="shared" si="177"/>
        <v>458.2245249223306</v>
      </c>
    </row>
    <row r="192" spans="1:46" s="39" customFormat="1" ht="12.75">
      <c r="A192" s="51" t="s">
        <v>240</v>
      </c>
      <c r="C192" s="47">
        <v>7.7</v>
      </c>
      <c r="D192" s="45">
        <v>23</v>
      </c>
      <c r="E192" s="45">
        <v>0.5</v>
      </c>
      <c r="F192" s="45">
        <f t="shared" si="144"/>
        <v>7.1</v>
      </c>
      <c r="G192" s="45">
        <f t="shared" si="145"/>
        <v>154</v>
      </c>
      <c r="J192" s="45">
        <v>35.5</v>
      </c>
      <c r="K192" s="45">
        <v>0</v>
      </c>
      <c r="L192" s="45">
        <v>0</v>
      </c>
      <c r="M192" s="45">
        <f t="shared" si="178"/>
        <v>24</v>
      </c>
      <c r="N192" s="45">
        <f t="shared" si="146"/>
        <v>473.58748635909745</v>
      </c>
      <c r="O192" s="45">
        <f t="shared" si="147"/>
        <v>1.1730429254783903</v>
      </c>
      <c r="P192" s="45">
        <f t="shared" si="148"/>
        <v>474.7800800000005</v>
      </c>
      <c r="Q192" s="47">
        <f t="shared" si="149"/>
        <v>7.783280000000008</v>
      </c>
      <c r="R192" s="40">
        <f t="shared" si="150"/>
        <v>498.49612950145683</v>
      </c>
      <c r="S192" s="48">
        <f t="shared" si="151"/>
        <v>0.9956709956709956</v>
      </c>
      <c r="T192" s="48">
        <f t="shared" si="152"/>
        <v>0.01278772378516624</v>
      </c>
      <c r="U192" s="48">
        <f t="shared" si="153"/>
        <v>0.5843621399176955</v>
      </c>
      <c r="V192" s="48">
        <f t="shared" si="154"/>
        <v>7.684630738522954</v>
      </c>
      <c r="W192" s="48">
        <f t="shared" si="155"/>
        <v>0</v>
      </c>
      <c r="X192" s="48">
        <f t="shared" si="156"/>
        <v>0</v>
      </c>
      <c r="Y192" s="48">
        <f t="shared" si="157"/>
        <v>1</v>
      </c>
      <c r="Z192" s="48">
        <f t="shared" si="158"/>
        <v>0</v>
      </c>
      <c r="AA192" s="48">
        <f t="shared" si="159"/>
        <v>0</v>
      </c>
      <c r="AB192" s="48">
        <f t="shared" si="160"/>
        <v>0.5</v>
      </c>
      <c r="AC192" s="48">
        <f t="shared" si="161"/>
        <v>7.763729284575368</v>
      </c>
      <c r="AD192" s="48">
        <f t="shared" si="162"/>
        <v>0.019550715424639837</v>
      </c>
      <c r="AE192" s="45">
        <f t="shared" si="163"/>
        <v>9.277451597896812</v>
      </c>
      <c r="AF192" s="45">
        <f t="shared" si="164"/>
        <v>9.283280000000008</v>
      </c>
      <c r="AG192" s="45">
        <f t="shared" si="165"/>
        <v>-0.00582840210319624</v>
      </c>
      <c r="AH192" s="40">
        <f t="shared" si="166"/>
        <v>-0.03140179077777665</v>
      </c>
      <c r="AI192" s="45">
        <f t="shared" si="167"/>
        <v>18.56073159789682</v>
      </c>
      <c r="AJ192" s="49">
        <f t="shared" si="168"/>
        <v>934.6529712283993</v>
      </c>
      <c r="AK192" s="49"/>
      <c r="AL192" s="50">
        <f t="shared" si="169"/>
        <v>845.9597720679951</v>
      </c>
      <c r="AM192" s="42">
        <f t="shared" si="170"/>
        <v>0.47222512514674153</v>
      </c>
      <c r="AN192" s="42">
        <f t="shared" si="171"/>
        <v>107.98636515600965</v>
      </c>
      <c r="AO192" s="42">
        <f t="shared" si="172"/>
        <v>58.10735496321885</v>
      </c>
      <c r="AP192" s="42">
        <f t="shared" si="173"/>
        <v>49.8790101927908</v>
      </c>
      <c r="AQ192" s="42">
        <f t="shared" si="174"/>
        <v>1.9425263208842032</v>
      </c>
      <c r="AR192" s="42">
        <f t="shared" si="175"/>
        <v>1.1060001402670623</v>
      </c>
      <c r="AS192" s="42">
        <f t="shared" si="176"/>
        <v>539.088173153072</v>
      </c>
      <c r="AT192" s="42">
        <f t="shared" si="177"/>
        <v>463.04081774253143</v>
      </c>
    </row>
    <row r="193" spans="1:46" s="39" customFormat="1" ht="12.75">
      <c r="A193" s="51" t="s">
        <v>241</v>
      </c>
      <c r="C193" s="47">
        <v>7.7</v>
      </c>
      <c r="D193" s="45">
        <v>23</v>
      </c>
      <c r="E193" s="45">
        <v>0.5</v>
      </c>
      <c r="F193" s="45">
        <f t="shared" si="144"/>
        <v>7.2</v>
      </c>
      <c r="G193" s="45">
        <f t="shared" si="145"/>
        <v>156</v>
      </c>
      <c r="J193" s="45">
        <v>35.5</v>
      </c>
      <c r="K193" s="45">
        <v>0</v>
      </c>
      <c r="L193" s="45">
        <v>0</v>
      </c>
      <c r="M193" s="45">
        <f t="shared" si="178"/>
        <v>24</v>
      </c>
      <c r="N193" s="45">
        <f t="shared" si="146"/>
        <v>480.16380579328097</v>
      </c>
      <c r="O193" s="45">
        <f t="shared" si="147"/>
        <v>1.1893320066094435</v>
      </c>
      <c r="P193" s="45">
        <f t="shared" si="148"/>
        <v>481.37296000000055</v>
      </c>
      <c r="Q193" s="47">
        <f t="shared" si="149"/>
        <v>7.891360000000009</v>
      </c>
      <c r="R193" s="40">
        <f t="shared" si="150"/>
        <v>505.4183347512382</v>
      </c>
      <c r="S193" s="48">
        <f t="shared" si="151"/>
        <v>0.9956709956709956</v>
      </c>
      <c r="T193" s="48">
        <f t="shared" si="152"/>
        <v>0.01278772378516624</v>
      </c>
      <c r="U193" s="48">
        <f t="shared" si="153"/>
        <v>0.5925925925925926</v>
      </c>
      <c r="V193" s="48">
        <f t="shared" si="154"/>
        <v>7.784431137724551</v>
      </c>
      <c r="W193" s="48">
        <f t="shared" si="155"/>
        <v>0</v>
      </c>
      <c r="X193" s="48">
        <f t="shared" si="156"/>
        <v>0</v>
      </c>
      <c r="Y193" s="48">
        <f t="shared" si="157"/>
        <v>1</v>
      </c>
      <c r="Z193" s="48">
        <f t="shared" si="158"/>
        <v>0</v>
      </c>
      <c r="AA193" s="48">
        <f t="shared" si="159"/>
        <v>0</v>
      </c>
      <c r="AB193" s="48">
        <f t="shared" si="160"/>
        <v>0.5</v>
      </c>
      <c r="AC193" s="48">
        <f t="shared" si="161"/>
        <v>7.871537799889852</v>
      </c>
      <c r="AD193" s="48">
        <f t="shared" si="162"/>
        <v>0.019822200110157392</v>
      </c>
      <c r="AE193" s="45">
        <f t="shared" si="163"/>
        <v>9.385482449773306</v>
      </c>
      <c r="AF193" s="45">
        <f t="shared" si="164"/>
        <v>9.39136000000001</v>
      </c>
      <c r="AG193" s="45">
        <f t="shared" si="165"/>
        <v>-0.005877550226703221</v>
      </c>
      <c r="AH193" s="40">
        <f t="shared" si="166"/>
        <v>-0.031302122507685944</v>
      </c>
      <c r="AI193" s="45">
        <f t="shared" si="167"/>
        <v>18.776842449773316</v>
      </c>
      <c r="AJ193" s="49">
        <f t="shared" si="168"/>
        <v>945.015856429801</v>
      </c>
      <c r="AK193" s="49"/>
      <c r="AL193" s="50">
        <f t="shared" si="169"/>
        <v>854.5084426875387</v>
      </c>
      <c r="AM193" s="42">
        <f t="shared" si="170"/>
        <v>0.47216473515177637</v>
      </c>
      <c r="AN193" s="42">
        <f t="shared" si="171"/>
        <v>107.93559555084097</v>
      </c>
      <c r="AO193" s="42">
        <f t="shared" si="172"/>
        <v>58.11777251320512</v>
      </c>
      <c r="AP193" s="42">
        <f t="shared" si="173"/>
        <v>49.817823037635854</v>
      </c>
      <c r="AQ193" s="42">
        <f t="shared" si="174"/>
        <v>1.9432254261177107</v>
      </c>
      <c r="AR193" s="42">
        <f t="shared" si="175"/>
        <v>1.1048961041407108</v>
      </c>
      <c r="AS193" s="42">
        <f t="shared" si="176"/>
        <v>545.4633339426041</v>
      </c>
      <c r="AT193" s="42">
        <f t="shared" si="177"/>
        <v>467.8571105627323</v>
      </c>
    </row>
    <row r="194" spans="1:46" s="39" customFormat="1" ht="12.75">
      <c r="A194" s="51" t="s">
        <v>242</v>
      </c>
      <c r="C194" s="47">
        <v>7.7</v>
      </c>
      <c r="D194" s="45">
        <v>23</v>
      </c>
      <c r="E194" s="45">
        <v>0.5</v>
      </c>
      <c r="F194" s="45">
        <f t="shared" si="144"/>
        <v>7.3</v>
      </c>
      <c r="G194" s="45">
        <f t="shared" si="145"/>
        <v>158</v>
      </c>
      <c r="J194" s="45">
        <v>35.5</v>
      </c>
      <c r="K194" s="45">
        <v>0</v>
      </c>
      <c r="L194" s="45">
        <v>0</v>
      </c>
      <c r="M194" s="45">
        <f t="shared" si="178"/>
        <v>24</v>
      </c>
      <c r="N194" s="45">
        <f t="shared" si="146"/>
        <v>486.7401252274644</v>
      </c>
      <c r="O194" s="45">
        <f t="shared" si="147"/>
        <v>1.2056210877404967</v>
      </c>
      <c r="P194" s="45">
        <f t="shared" si="148"/>
        <v>487.9658400000005</v>
      </c>
      <c r="Q194" s="47">
        <f t="shared" si="149"/>
        <v>7.999440000000009</v>
      </c>
      <c r="R194" s="40">
        <f t="shared" si="150"/>
        <v>512.3405400010195</v>
      </c>
      <c r="S194" s="48">
        <f t="shared" si="151"/>
        <v>0.9956709956709956</v>
      </c>
      <c r="T194" s="48">
        <f t="shared" si="152"/>
        <v>0.01278772378516624</v>
      </c>
      <c r="U194" s="48">
        <f t="shared" si="153"/>
        <v>0.6008230452674896</v>
      </c>
      <c r="V194" s="48">
        <f t="shared" si="154"/>
        <v>7.884231536926148</v>
      </c>
      <c r="W194" s="48">
        <f t="shared" si="155"/>
        <v>0</v>
      </c>
      <c r="X194" s="48">
        <f t="shared" si="156"/>
        <v>0</v>
      </c>
      <c r="Y194" s="48">
        <f t="shared" si="157"/>
        <v>1</v>
      </c>
      <c r="Z194" s="48">
        <f t="shared" si="158"/>
        <v>0</v>
      </c>
      <c r="AA194" s="48">
        <f t="shared" si="159"/>
        <v>0</v>
      </c>
      <c r="AB194" s="48">
        <f t="shared" si="160"/>
        <v>0.5</v>
      </c>
      <c r="AC194" s="48">
        <f t="shared" si="161"/>
        <v>7.979346315204334</v>
      </c>
      <c r="AD194" s="48">
        <f t="shared" si="162"/>
        <v>0.020093684795674947</v>
      </c>
      <c r="AE194" s="45">
        <f t="shared" si="163"/>
        <v>9.493513301649799</v>
      </c>
      <c r="AF194" s="45">
        <f t="shared" si="164"/>
        <v>9.49944000000001</v>
      </c>
      <c r="AG194" s="45">
        <f t="shared" si="165"/>
        <v>-0.0059266983502119785</v>
      </c>
      <c r="AH194" s="40">
        <f t="shared" si="166"/>
        <v>-0.031204722383522947</v>
      </c>
      <c r="AI194" s="45">
        <f t="shared" si="167"/>
        <v>18.99295330164981</v>
      </c>
      <c r="AJ194" s="49">
        <f t="shared" si="168"/>
        <v>955.3787416312026</v>
      </c>
      <c r="AK194" s="49"/>
      <c r="AL194" s="50">
        <f t="shared" si="169"/>
        <v>863.0425983910304</v>
      </c>
      <c r="AM194" s="42">
        <f t="shared" si="170"/>
        <v>0.47210568056614305</v>
      </c>
      <c r="AN194" s="42">
        <f t="shared" si="171"/>
        <v>107.88598116921051</v>
      </c>
      <c r="AO194" s="42">
        <f t="shared" si="172"/>
        <v>58.12795297145016</v>
      </c>
      <c r="AP194" s="42">
        <f t="shared" si="173"/>
        <v>49.75802819776035</v>
      </c>
      <c r="AQ194" s="42">
        <f t="shared" si="174"/>
        <v>1.9439077280252997</v>
      </c>
      <c r="AR194" s="42">
        <f t="shared" si="175"/>
        <v>1.1038159461622252</v>
      </c>
      <c r="AS194" s="42">
        <f t="shared" si="176"/>
        <v>551.838494732136</v>
      </c>
      <c r="AT194" s="42">
        <f t="shared" si="177"/>
        <v>472.67340338293315</v>
      </c>
    </row>
    <row r="195" spans="1:46" s="39" customFormat="1" ht="12.75">
      <c r="A195" s="51" t="s">
        <v>243</v>
      </c>
      <c r="C195" s="47">
        <v>7.7</v>
      </c>
      <c r="D195" s="45">
        <v>23</v>
      </c>
      <c r="E195" s="45">
        <v>0.5</v>
      </c>
      <c r="F195" s="45">
        <f t="shared" si="144"/>
        <v>7.4</v>
      </c>
      <c r="G195" s="45">
        <f t="shared" si="145"/>
        <v>160</v>
      </c>
      <c r="J195" s="45">
        <v>35.5</v>
      </c>
      <c r="K195" s="45">
        <v>0</v>
      </c>
      <c r="L195" s="45">
        <v>0</v>
      </c>
      <c r="M195" s="45">
        <f t="shared" si="178"/>
        <v>24</v>
      </c>
      <c r="N195" s="45">
        <f t="shared" si="146"/>
        <v>493.3164446616478</v>
      </c>
      <c r="O195" s="45">
        <f t="shared" si="147"/>
        <v>1.22191016887155</v>
      </c>
      <c r="P195" s="45">
        <f t="shared" si="148"/>
        <v>494.5587200000005</v>
      </c>
      <c r="Q195" s="47">
        <f t="shared" si="149"/>
        <v>8.107520000000008</v>
      </c>
      <c r="R195" s="40">
        <f t="shared" si="150"/>
        <v>519.2627452508007</v>
      </c>
      <c r="S195" s="48">
        <f t="shared" si="151"/>
        <v>0.9956709956709956</v>
      </c>
      <c r="T195" s="48">
        <f t="shared" si="152"/>
        <v>0.01278772378516624</v>
      </c>
      <c r="U195" s="48">
        <f t="shared" si="153"/>
        <v>0.6090534979423868</v>
      </c>
      <c r="V195" s="48">
        <f t="shared" si="154"/>
        <v>7.984031936127745</v>
      </c>
      <c r="W195" s="48">
        <f t="shared" si="155"/>
        <v>0</v>
      </c>
      <c r="X195" s="48">
        <f t="shared" si="156"/>
        <v>0</v>
      </c>
      <c r="Y195" s="48">
        <f t="shared" si="157"/>
        <v>1</v>
      </c>
      <c r="Z195" s="48">
        <f t="shared" si="158"/>
        <v>0</v>
      </c>
      <c r="AA195" s="48">
        <f t="shared" si="159"/>
        <v>0</v>
      </c>
      <c r="AB195" s="48">
        <f t="shared" si="160"/>
        <v>0.5</v>
      </c>
      <c r="AC195" s="48">
        <f t="shared" si="161"/>
        <v>8.087154830518816</v>
      </c>
      <c r="AD195" s="48">
        <f t="shared" si="162"/>
        <v>0.020365169481192498</v>
      </c>
      <c r="AE195" s="45">
        <f t="shared" si="163"/>
        <v>9.601544153526294</v>
      </c>
      <c r="AF195" s="45">
        <f t="shared" si="164"/>
        <v>9.607520000000008</v>
      </c>
      <c r="AG195" s="45">
        <f t="shared" si="165"/>
        <v>-0.005975846473713631</v>
      </c>
      <c r="AH195" s="40">
        <f t="shared" si="166"/>
        <v>-0.03110951385217075</v>
      </c>
      <c r="AI195" s="45">
        <f t="shared" si="167"/>
        <v>19.209064153526302</v>
      </c>
      <c r="AJ195" s="49">
        <f t="shared" si="168"/>
        <v>965.7416268326042</v>
      </c>
      <c r="AK195" s="49"/>
      <c r="AL195" s="50">
        <f t="shared" si="169"/>
        <v>871.5623164813542</v>
      </c>
      <c r="AM195" s="42">
        <f t="shared" si="170"/>
        <v>0.47204791700598464</v>
      </c>
      <c r="AN195" s="42">
        <f t="shared" si="171"/>
        <v>107.8374830253224</v>
      </c>
      <c r="AO195" s="42">
        <f t="shared" si="172"/>
        <v>58.137904340798855</v>
      </c>
      <c r="AP195" s="42">
        <f t="shared" si="173"/>
        <v>49.69957868452354</v>
      </c>
      <c r="AQ195" s="42">
        <f t="shared" si="174"/>
        <v>1.944573825226778</v>
      </c>
      <c r="AR195" s="42">
        <f t="shared" si="175"/>
        <v>1.102758899962498</v>
      </c>
      <c r="AS195" s="42">
        <f t="shared" si="176"/>
        <v>558.2136555216682</v>
      </c>
      <c r="AT195" s="42">
        <f t="shared" si="177"/>
        <v>477.489696203134</v>
      </c>
    </row>
    <row r="196" spans="1:46" s="39" customFormat="1" ht="12.75">
      <c r="A196" s="51" t="s">
        <v>244</v>
      </c>
      <c r="C196" s="47">
        <v>7.7</v>
      </c>
      <c r="D196" s="45">
        <v>23</v>
      </c>
      <c r="E196" s="45">
        <v>0.5</v>
      </c>
      <c r="F196" s="45">
        <f t="shared" si="144"/>
        <v>7.5</v>
      </c>
      <c r="G196" s="45">
        <f t="shared" si="145"/>
        <v>162</v>
      </c>
      <c r="J196" s="45">
        <v>35.5</v>
      </c>
      <c r="K196" s="45">
        <v>0</v>
      </c>
      <c r="L196" s="45">
        <v>0</v>
      </c>
      <c r="M196" s="45">
        <f t="shared" si="178"/>
        <v>24</v>
      </c>
      <c r="N196" s="45">
        <f t="shared" si="146"/>
        <v>499.8927640958311</v>
      </c>
      <c r="O196" s="45">
        <f t="shared" si="147"/>
        <v>1.2381992500026031</v>
      </c>
      <c r="P196" s="45">
        <f t="shared" si="148"/>
        <v>501.1516000000004</v>
      </c>
      <c r="Q196" s="47">
        <f t="shared" si="149"/>
        <v>8.215600000000007</v>
      </c>
      <c r="R196" s="40">
        <f t="shared" si="150"/>
        <v>526.1849505005817</v>
      </c>
      <c r="S196" s="48">
        <f t="shared" si="151"/>
        <v>0.9956709956709956</v>
      </c>
      <c r="T196" s="48">
        <f t="shared" si="152"/>
        <v>0.01278772378516624</v>
      </c>
      <c r="U196" s="48">
        <f t="shared" si="153"/>
        <v>0.6172839506172839</v>
      </c>
      <c r="V196" s="48">
        <f t="shared" si="154"/>
        <v>8.083832335329342</v>
      </c>
      <c r="W196" s="48">
        <f t="shared" si="155"/>
        <v>0</v>
      </c>
      <c r="X196" s="48">
        <f t="shared" si="156"/>
        <v>0</v>
      </c>
      <c r="Y196" s="48">
        <f t="shared" si="157"/>
        <v>1</v>
      </c>
      <c r="Z196" s="48">
        <f t="shared" si="158"/>
        <v>0</v>
      </c>
      <c r="AA196" s="48">
        <f t="shared" si="159"/>
        <v>0</v>
      </c>
      <c r="AB196" s="48">
        <f t="shared" si="160"/>
        <v>0.5</v>
      </c>
      <c r="AC196" s="48">
        <f t="shared" si="161"/>
        <v>8.194963345833298</v>
      </c>
      <c r="AD196" s="48">
        <f t="shared" si="162"/>
        <v>0.020636654166710053</v>
      </c>
      <c r="AE196" s="45">
        <f t="shared" si="163"/>
        <v>9.709575005402789</v>
      </c>
      <c r="AF196" s="45">
        <f t="shared" si="164"/>
        <v>9.715600000000007</v>
      </c>
      <c r="AG196" s="45">
        <f t="shared" si="165"/>
        <v>-0.006024994597218836</v>
      </c>
      <c r="AH196" s="40">
        <f t="shared" si="166"/>
        <v>-0.031016423767317832</v>
      </c>
      <c r="AI196" s="45">
        <f t="shared" si="167"/>
        <v>19.425175005402796</v>
      </c>
      <c r="AJ196" s="49">
        <f t="shared" si="168"/>
        <v>976.1045120340058</v>
      </c>
      <c r="AK196" s="49"/>
      <c r="AL196" s="50">
        <f t="shared" si="169"/>
        <v>880.0676730717076</v>
      </c>
      <c r="AM196" s="42">
        <f t="shared" si="170"/>
        <v>0.4719914020548222</v>
      </c>
      <c r="AN196" s="42">
        <f t="shared" si="171"/>
        <v>107.79006386809252</v>
      </c>
      <c r="AO196" s="42">
        <f t="shared" si="172"/>
        <v>58.147634267930464</v>
      </c>
      <c r="AP196" s="42">
        <f t="shared" si="173"/>
        <v>49.642429600162046</v>
      </c>
      <c r="AQ196" s="42">
        <f t="shared" si="174"/>
        <v>1.945224288241148</v>
      </c>
      <c r="AR196" s="42">
        <f t="shared" si="175"/>
        <v>1.1017242316207652</v>
      </c>
      <c r="AS196" s="42">
        <f t="shared" si="176"/>
        <v>564.5888163112003</v>
      </c>
      <c r="AT196" s="42">
        <f t="shared" si="177"/>
        <v>482.30598902333475</v>
      </c>
    </row>
    <row r="197" spans="1:46" s="39" customFormat="1" ht="12.75">
      <c r="A197" s="51" t="s">
        <v>245</v>
      </c>
      <c r="C197" s="47">
        <v>7.7</v>
      </c>
      <c r="D197" s="45">
        <v>23</v>
      </c>
      <c r="E197" s="45">
        <v>0.5</v>
      </c>
      <c r="F197" s="45">
        <f t="shared" si="144"/>
        <v>7.6</v>
      </c>
      <c r="G197" s="45">
        <f t="shared" si="145"/>
        <v>164</v>
      </c>
      <c r="J197" s="45">
        <v>35.5</v>
      </c>
      <c r="K197" s="45">
        <v>0</v>
      </c>
      <c r="L197" s="45">
        <v>0</v>
      </c>
      <c r="M197" s="45">
        <f t="shared" si="178"/>
        <v>24</v>
      </c>
      <c r="N197" s="45">
        <f t="shared" si="146"/>
        <v>506.46908353001453</v>
      </c>
      <c r="O197" s="45">
        <f t="shared" si="147"/>
        <v>1.2544883311336563</v>
      </c>
      <c r="P197" s="45">
        <f t="shared" si="148"/>
        <v>507.7444800000004</v>
      </c>
      <c r="Q197" s="47">
        <f t="shared" si="149"/>
        <v>8.323680000000007</v>
      </c>
      <c r="R197" s="40">
        <f t="shared" si="150"/>
        <v>533.107155750363</v>
      </c>
      <c r="S197" s="48">
        <f t="shared" si="151"/>
        <v>0.9956709956709956</v>
      </c>
      <c r="T197" s="48">
        <f t="shared" si="152"/>
        <v>0.01278772378516624</v>
      </c>
      <c r="U197" s="48">
        <f t="shared" si="153"/>
        <v>0.625514403292181</v>
      </c>
      <c r="V197" s="48">
        <f t="shared" si="154"/>
        <v>8.183632734530939</v>
      </c>
      <c r="W197" s="48">
        <f t="shared" si="155"/>
        <v>0</v>
      </c>
      <c r="X197" s="48">
        <f t="shared" si="156"/>
        <v>0</v>
      </c>
      <c r="Y197" s="48">
        <f t="shared" si="157"/>
        <v>1</v>
      </c>
      <c r="Z197" s="48">
        <f t="shared" si="158"/>
        <v>0</v>
      </c>
      <c r="AA197" s="48">
        <f t="shared" si="159"/>
        <v>0</v>
      </c>
      <c r="AB197" s="48">
        <f t="shared" si="160"/>
        <v>0.5</v>
      </c>
      <c r="AC197" s="48">
        <f t="shared" si="161"/>
        <v>8.302771861147779</v>
      </c>
      <c r="AD197" s="48">
        <f t="shared" si="162"/>
        <v>0.020908138852227604</v>
      </c>
      <c r="AE197" s="45">
        <f t="shared" si="163"/>
        <v>9.81760585727928</v>
      </c>
      <c r="AF197" s="45">
        <f t="shared" si="164"/>
        <v>9.823680000000007</v>
      </c>
      <c r="AG197" s="45">
        <f t="shared" si="165"/>
        <v>-0.006074142720725817</v>
      </c>
      <c r="AH197" s="40">
        <f t="shared" si="166"/>
        <v>-0.03092538220187183</v>
      </c>
      <c r="AI197" s="45">
        <f t="shared" si="167"/>
        <v>19.641285857279286</v>
      </c>
      <c r="AJ197" s="49">
        <f t="shared" si="168"/>
        <v>986.4673972354076</v>
      </c>
      <c r="AK197" s="49"/>
      <c r="AL197" s="50">
        <f t="shared" si="169"/>
        <v>888.5587431146652</v>
      </c>
      <c r="AM197" s="42">
        <f t="shared" si="170"/>
        <v>0.47193609515471724</v>
      </c>
      <c r="AN197" s="42">
        <f t="shared" si="171"/>
        <v>107.74368808572552</v>
      </c>
      <c r="AO197" s="42">
        <f t="shared" si="172"/>
        <v>58.1571500629545</v>
      </c>
      <c r="AP197" s="42">
        <f t="shared" si="173"/>
        <v>49.586538022771016</v>
      </c>
      <c r="AQ197" s="42">
        <f t="shared" si="174"/>
        <v>1.9458596611163892</v>
      </c>
      <c r="AR197" s="42">
        <f t="shared" si="175"/>
        <v>1.1007112379652504</v>
      </c>
      <c r="AS197" s="42">
        <f t="shared" si="176"/>
        <v>570.9639771007322</v>
      </c>
      <c r="AT197" s="42">
        <f t="shared" si="177"/>
        <v>487.1222818435355</v>
      </c>
    </row>
    <row r="198" spans="1:46" s="39" customFormat="1" ht="12.75">
      <c r="A198" s="51" t="s">
        <v>246</v>
      </c>
      <c r="C198" s="47">
        <v>7.7</v>
      </c>
      <c r="D198" s="45">
        <v>23</v>
      </c>
      <c r="E198" s="45">
        <v>0.5</v>
      </c>
      <c r="F198" s="45">
        <f t="shared" si="144"/>
        <v>7.7</v>
      </c>
      <c r="G198" s="45">
        <f t="shared" si="145"/>
        <v>166</v>
      </c>
      <c r="J198" s="45">
        <v>35.5</v>
      </c>
      <c r="K198" s="45">
        <v>0</v>
      </c>
      <c r="L198" s="45">
        <v>0</v>
      </c>
      <c r="M198" s="45">
        <f t="shared" si="178"/>
        <v>24</v>
      </c>
      <c r="N198" s="45">
        <f t="shared" si="146"/>
        <v>513.0454029641979</v>
      </c>
      <c r="O198" s="45">
        <f t="shared" si="147"/>
        <v>1.2707774122647095</v>
      </c>
      <c r="P198" s="45">
        <f t="shared" si="148"/>
        <v>514.3373600000003</v>
      </c>
      <c r="Q198" s="47">
        <f t="shared" si="149"/>
        <v>8.431760000000006</v>
      </c>
      <c r="R198" s="40">
        <f t="shared" si="150"/>
        <v>540.0293610001443</v>
      </c>
      <c r="S198" s="48">
        <f t="shared" si="151"/>
        <v>0.9956709956709956</v>
      </c>
      <c r="T198" s="48">
        <f t="shared" si="152"/>
        <v>0.01278772378516624</v>
      </c>
      <c r="U198" s="48">
        <f t="shared" si="153"/>
        <v>0.6337448559670782</v>
      </c>
      <c r="V198" s="48">
        <f t="shared" si="154"/>
        <v>8.283433133732535</v>
      </c>
      <c r="W198" s="48">
        <f t="shared" si="155"/>
        <v>0</v>
      </c>
      <c r="X198" s="48">
        <f t="shared" si="156"/>
        <v>0</v>
      </c>
      <c r="Y198" s="48">
        <f t="shared" si="157"/>
        <v>1</v>
      </c>
      <c r="Z198" s="48">
        <f t="shared" si="158"/>
        <v>0</v>
      </c>
      <c r="AA198" s="48">
        <f t="shared" si="159"/>
        <v>0</v>
      </c>
      <c r="AB198" s="48">
        <f t="shared" si="160"/>
        <v>0.5</v>
      </c>
      <c r="AC198" s="48">
        <f t="shared" si="161"/>
        <v>8.410580376462262</v>
      </c>
      <c r="AD198" s="48">
        <f t="shared" si="162"/>
        <v>0.02117962353774516</v>
      </c>
      <c r="AE198" s="45">
        <f t="shared" si="163"/>
        <v>9.925636709155775</v>
      </c>
      <c r="AF198" s="45">
        <f t="shared" si="164"/>
        <v>9.931760000000008</v>
      </c>
      <c r="AG198" s="45">
        <f t="shared" si="165"/>
        <v>-0.006123290844232798</v>
      </c>
      <c r="AH198" s="40">
        <f t="shared" si="166"/>
        <v>-0.030836322272846026</v>
      </c>
      <c r="AI198" s="45">
        <f t="shared" si="167"/>
        <v>19.857396709155783</v>
      </c>
      <c r="AJ198" s="49">
        <f t="shared" si="168"/>
        <v>996.8302824368091</v>
      </c>
      <c r="AK198" s="49"/>
      <c r="AL198" s="50">
        <f t="shared" si="169"/>
        <v>897.0356004303153</v>
      </c>
      <c r="AM198" s="42">
        <f t="shared" si="170"/>
        <v>0.4718819575046337</v>
      </c>
      <c r="AN198" s="42">
        <f t="shared" si="171"/>
        <v>107.6983216165219</v>
      </c>
      <c r="AO198" s="42">
        <f t="shared" si="172"/>
        <v>58.166458717726925</v>
      </c>
      <c r="AP198" s="42">
        <f t="shared" si="173"/>
        <v>49.53186289879498</v>
      </c>
      <c r="AQ198" s="42">
        <f t="shared" si="174"/>
        <v>1.9464804629471082</v>
      </c>
      <c r="AR198" s="42">
        <f t="shared" si="175"/>
        <v>1.0997192449795006</v>
      </c>
      <c r="AS198" s="42">
        <f t="shared" si="176"/>
        <v>577.3391378902643</v>
      </c>
      <c r="AT198" s="42">
        <f t="shared" si="177"/>
        <v>491.9385746637364</v>
      </c>
    </row>
    <row r="199" spans="1:46" s="39" customFormat="1" ht="12.75">
      <c r="A199" s="51" t="s">
        <v>247</v>
      </c>
      <c r="C199" s="47">
        <v>7.7</v>
      </c>
      <c r="D199" s="45">
        <v>23</v>
      </c>
      <c r="E199" s="45">
        <v>0.5</v>
      </c>
      <c r="F199" s="45">
        <f t="shared" si="144"/>
        <v>7.8</v>
      </c>
      <c r="G199" s="45">
        <f t="shared" si="145"/>
        <v>168</v>
      </c>
      <c r="J199" s="45">
        <v>35.5</v>
      </c>
      <c r="K199" s="45">
        <v>0</v>
      </c>
      <c r="L199" s="45">
        <v>0</v>
      </c>
      <c r="M199" s="45">
        <f t="shared" si="178"/>
        <v>24</v>
      </c>
      <c r="N199" s="45">
        <f t="shared" si="146"/>
        <v>519.6217223983814</v>
      </c>
      <c r="O199" s="45">
        <f t="shared" si="147"/>
        <v>1.2870664933957625</v>
      </c>
      <c r="P199" s="45">
        <f t="shared" si="148"/>
        <v>520.9302400000004</v>
      </c>
      <c r="Q199" s="47">
        <f t="shared" si="149"/>
        <v>8.539840000000005</v>
      </c>
      <c r="R199" s="40">
        <f t="shared" si="150"/>
        <v>546.9515662499255</v>
      </c>
      <c r="S199" s="48">
        <f t="shared" si="151"/>
        <v>0.9956709956709956</v>
      </c>
      <c r="T199" s="48">
        <f t="shared" si="152"/>
        <v>0.01278772378516624</v>
      </c>
      <c r="U199" s="48">
        <f t="shared" si="153"/>
        <v>0.6419753086419753</v>
      </c>
      <c r="V199" s="48">
        <f t="shared" si="154"/>
        <v>8.383233532934131</v>
      </c>
      <c r="W199" s="48">
        <f t="shared" si="155"/>
        <v>0</v>
      </c>
      <c r="X199" s="48">
        <f t="shared" si="156"/>
        <v>0</v>
      </c>
      <c r="Y199" s="48">
        <f t="shared" si="157"/>
        <v>1</v>
      </c>
      <c r="Z199" s="48">
        <f t="shared" si="158"/>
        <v>0</v>
      </c>
      <c r="AA199" s="48">
        <f t="shared" si="159"/>
        <v>0</v>
      </c>
      <c r="AB199" s="48">
        <f t="shared" si="160"/>
        <v>0.5</v>
      </c>
      <c r="AC199" s="48">
        <f t="shared" si="161"/>
        <v>8.518388891776745</v>
      </c>
      <c r="AD199" s="48">
        <f t="shared" si="162"/>
        <v>0.021451108223262707</v>
      </c>
      <c r="AE199" s="45">
        <f t="shared" si="163"/>
        <v>10.033667561032269</v>
      </c>
      <c r="AF199" s="45">
        <f t="shared" si="164"/>
        <v>10.039840000000007</v>
      </c>
      <c r="AG199" s="45">
        <f t="shared" si="165"/>
        <v>-0.006172438967738003</v>
      </c>
      <c r="AH199" s="40">
        <f t="shared" si="166"/>
        <v>-0.030749179977495607</v>
      </c>
      <c r="AI199" s="45">
        <f t="shared" si="167"/>
        <v>20.073507561032276</v>
      </c>
      <c r="AJ199" s="49">
        <f t="shared" si="168"/>
        <v>1007.1931676382106</v>
      </c>
      <c r="AK199" s="49"/>
      <c r="AL199" s="50">
        <f t="shared" si="169"/>
        <v>905.4983177335032</v>
      </c>
      <c r="AM199" s="42">
        <f t="shared" si="170"/>
        <v>0.47182895196545005</v>
      </c>
      <c r="AN199" s="42">
        <f t="shared" si="171"/>
        <v>107.65393186544591</v>
      </c>
      <c r="AO199" s="42">
        <f t="shared" si="172"/>
        <v>58.175566922982995</v>
      </c>
      <c r="AP199" s="42">
        <f t="shared" si="173"/>
        <v>49.47836494246292</v>
      </c>
      <c r="AQ199" s="42">
        <f t="shared" si="174"/>
        <v>1.9470871892889683</v>
      </c>
      <c r="AR199" s="42">
        <f t="shared" si="175"/>
        <v>1.0987476063068176</v>
      </c>
      <c r="AS199" s="42">
        <f t="shared" si="176"/>
        <v>583.7142986797963</v>
      </c>
      <c r="AT199" s="42">
        <f t="shared" si="177"/>
        <v>496.75486748393723</v>
      </c>
    </row>
    <row r="200" spans="1:46" s="39" customFormat="1" ht="12.75">
      <c r="A200" s="51" t="s">
        <v>248</v>
      </c>
      <c r="C200" s="47">
        <v>7.7</v>
      </c>
      <c r="D200" s="45">
        <v>23</v>
      </c>
      <c r="E200" s="45">
        <v>0.5</v>
      </c>
      <c r="F200" s="45">
        <f t="shared" si="144"/>
        <v>7.9</v>
      </c>
      <c r="G200" s="45">
        <f t="shared" si="145"/>
        <v>170</v>
      </c>
      <c r="J200" s="45">
        <v>35.5</v>
      </c>
      <c r="K200" s="45">
        <v>0</v>
      </c>
      <c r="L200" s="45">
        <v>0</v>
      </c>
      <c r="M200" s="45">
        <f t="shared" si="178"/>
        <v>24</v>
      </c>
      <c r="N200" s="45">
        <f t="shared" si="146"/>
        <v>526.1980418325647</v>
      </c>
      <c r="O200" s="45">
        <f t="shared" si="147"/>
        <v>1.3033555745268157</v>
      </c>
      <c r="P200" s="45">
        <f t="shared" si="148"/>
        <v>527.5231200000003</v>
      </c>
      <c r="Q200" s="47">
        <f t="shared" si="149"/>
        <v>8.647920000000004</v>
      </c>
      <c r="R200" s="40">
        <f t="shared" si="150"/>
        <v>553.8737714997067</v>
      </c>
      <c r="S200" s="48">
        <f t="shared" si="151"/>
        <v>0.9956709956709956</v>
      </c>
      <c r="T200" s="48">
        <f t="shared" si="152"/>
        <v>0.01278772378516624</v>
      </c>
      <c r="U200" s="48">
        <f t="shared" si="153"/>
        <v>0.6502057613168725</v>
      </c>
      <c r="V200" s="48">
        <f t="shared" si="154"/>
        <v>8.48303393213573</v>
      </c>
      <c r="W200" s="48">
        <f t="shared" si="155"/>
        <v>0</v>
      </c>
      <c r="X200" s="48">
        <f t="shared" si="156"/>
        <v>0</v>
      </c>
      <c r="Y200" s="48">
        <f t="shared" si="157"/>
        <v>1</v>
      </c>
      <c r="Z200" s="48">
        <f t="shared" si="158"/>
        <v>0</v>
      </c>
      <c r="AA200" s="48">
        <f t="shared" si="159"/>
        <v>0</v>
      </c>
      <c r="AB200" s="48">
        <f t="shared" si="160"/>
        <v>0.5</v>
      </c>
      <c r="AC200" s="48">
        <f t="shared" si="161"/>
        <v>8.626197407091226</v>
      </c>
      <c r="AD200" s="48">
        <f t="shared" si="162"/>
        <v>0.021722592908780262</v>
      </c>
      <c r="AE200" s="45">
        <f t="shared" si="163"/>
        <v>10.141698412908763</v>
      </c>
      <c r="AF200" s="45">
        <f t="shared" si="164"/>
        <v>10.147920000000006</v>
      </c>
      <c r="AG200" s="45">
        <f t="shared" si="165"/>
        <v>-0.006221587091243208</v>
      </c>
      <c r="AH200" s="40">
        <f t="shared" si="166"/>
        <v>-0.030663894039943483</v>
      </c>
      <c r="AI200" s="45">
        <f t="shared" si="167"/>
        <v>20.28961841290877</v>
      </c>
      <c r="AJ200" s="49">
        <f t="shared" si="168"/>
        <v>1017.5560528396122</v>
      </c>
      <c r="AK200" s="49"/>
      <c r="AL200" s="50">
        <f t="shared" si="169"/>
        <v>913.9469666602135</v>
      </c>
      <c r="AM200" s="42">
        <f t="shared" si="170"/>
        <v>0.47177704297111317</v>
      </c>
      <c r="AN200" s="42">
        <f t="shared" si="171"/>
        <v>107.61048762602493</v>
      </c>
      <c r="AO200" s="42">
        <f t="shared" si="172"/>
        <v>58.18448108437525</v>
      </c>
      <c r="AP200" s="42">
        <f t="shared" si="173"/>
        <v>49.426006541649684</v>
      </c>
      <c r="AQ200" s="42">
        <f t="shared" si="174"/>
        <v>1.9476803134779803</v>
      </c>
      <c r="AR200" s="42">
        <f t="shared" si="175"/>
        <v>1.097795701845819</v>
      </c>
      <c r="AS200" s="42">
        <f t="shared" si="176"/>
        <v>590.0894594693284</v>
      </c>
      <c r="AT200" s="42">
        <f t="shared" si="177"/>
        <v>501.571160304138</v>
      </c>
    </row>
    <row r="201" spans="1:46" s="39" customFormat="1" ht="12.75">
      <c r="A201" s="51" t="s">
        <v>249</v>
      </c>
      <c r="C201" s="47">
        <v>7.7</v>
      </c>
      <c r="D201" s="45">
        <v>23</v>
      </c>
      <c r="E201" s="45">
        <v>0.5</v>
      </c>
      <c r="F201" s="45">
        <f t="shared" si="144"/>
        <v>8</v>
      </c>
      <c r="G201" s="45">
        <f t="shared" si="145"/>
        <v>172</v>
      </c>
      <c r="J201" s="45">
        <v>35.5</v>
      </c>
      <c r="K201" s="45">
        <v>0</v>
      </c>
      <c r="L201" s="45">
        <v>0</v>
      </c>
      <c r="M201" s="45">
        <f t="shared" si="178"/>
        <v>24</v>
      </c>
      <c r="N201" s="45">
        <f t="shared" si="146"/>
        <v>532.7743612667481</v>
      </c>
      <c r="O201" s="45">
        <f t="shared" si="147"/>
        <v>1.319644655657869</v>
      </c>
      <c r="P201" s="45">
        <f t="shared" si="148"/>
        <v>534.1160000000002</v>
      </c>
      <c r="Q201" s="47">
        <f t="shared" si="149"/>
        <v>8.756000000000004</v>
      </c>
      <c r="R201" s="40">
        <f t="shared" si="150"/>
        <v>560.7959767494879</v>
      </c>
      <c r="S201" s="48">
        <f t="shared" si="151"/>
        <v>0.9956709956709956</v>
      </c>
      <c r="T201" s="48">
        <f t="shared" si="152"/>
        <v>0.01278772378516624</v>
      </c>
      <c r="U201" s="48">
        <f t="shared" si="153"/>
        <v>0.6584362139917695</v>
      </c>
      <c r="V201" s="48">
        <f t="shared" si="154"/>
        <v>8.582834331337326</v>
      </c>
      <c r="W201" s="48">
        <f t="shared" si="155"/>
        <v>0</v>
      </c>
      <c r="X201" s="48">
        <f t="shared" si="156"/>
        <v>0</v>
      </c>
      <c r="Y201" s="48">
        <f t="shared" si="157"/>
        <v>1</v>
      </c>
      <c r="Z201" s="48">
        <f t="shared" si="158"/>
        <v>0</v>
      </c>
      <c r="AA201" s="48">
        <f t="shared" si="159"/>
        <v>0</v>
      </c>
      <c r="AB201" s="48">
        <f t="shared" si="160"/>
        <v>0.5</v>
      </c>
      <c r="AC201" s="48">
        <f t="shared" si="161"/>
        <v>8.734005922405707</v>
      </c>
      <c r="AD201" s="48">
        <f t="shared" si="162"/>
        <v>0.021994077594297817</v>
      </c>
      <c r="AE201" s="45">
        <f t="shared" si="163"/>
        <v>10.249729264785257</v>
      </c>
      <c r="AF201" s="45">
        <f t="shared" si="164"/>
        <v>10.256000000000006</v>
      </c>
      <c r="AG201" s="45">
        <f t="shared" si="165"/>
        <v>-0.006270735214748413</v>
      </c>
      <c r="AH201" s="40">
        <f t="shared" si="166"/>
        <v>-0.0305804057674614</v>
      </c>
      <c r="AI201" s="45">
        <f t="shared" si="167"/>
        <v>20.505729264785263</v>
      </c>
      <c r="AJ201" s="49">
        <f t="shared" si="168"/>
        <v>1027.9189380410137</v>
      </c>
      <c r="AK201" s="49"/>
      <c r="AL201" s="50">
        <f t="shared" si="169"/>
        <v>922.381617793124</v>
      </c>
      <c r="AM201" s="42">
        <f t="shared" si="170"/>
        <v>0.4717261964454742</v>
      </c>
      <c r="AN201" s="42">
        <f t="shared" si="171"/>
        <v>107.56795900718693</v>
      </c>
      <c r="AO201" s="42">
        <f t="shared" si="172"/>
        <v>58.19320733749713</v>
      </c>
      <c r="AP201" s="42">
        <f t="shared" si="173"/>
        <v>49.3747516696898</v>
      </c>
      <c r="AQ201" s="42">
        <f t="shared" si="174"/>
        <v>1.9482602878620494</v>
      </c>
      <c r="AR201" s="42">
        <f t="shared" si="175"/>
        <v>1.096862936430711</v>
      </c>
      <c r="AS201" s="42">
        <f t="shared" si="176"/>
        <v>596.4646202588605</v>
      </c>
      <c r="AT201" s="42">
        <f t="shared" si="177"/>
        <v>506.38745312433883</v>
      </c>
    </row>
    <row r="202" spans="1:46" s="39" customFormat="1" ht="12.75">
      <c r="A202" s="51" t="s">
        <v>250</v>
      </c>
      <c r="C202" s="47">
        <v>7.7</v>
      </c>
      <c r="D202" s="45">
        <v>23</v>
      </c>
      <c r="E202" s="45">
        <v>0.5</v>
      </c>
      <c r="F202" s="45">
        <f t="shared" si="144"/>
        <v>8.1</v>
      </c>
      <c r="G202" s="45">
        <f t="shared" si="145"/>
        <v>174</v>
      </c>
      <c r="J202" s="45">
        <v>35.5</v>
      </c>
      <c r="K202" s="45">
        <v>0</v>
      </c>
      <c r="L202" s="45">
        <v>0</v>
      </c>
      <c r="M202" s="45">
        <f t="shared" si="178"/>
        <v>24</v>
      </c>
      <c r="N202" s="45">
        <f t="shared" si="146"/>
        <v>539.3506807009314</v>
      </c>
      <c r="O202" s="45">
        <f t="shared" si="147"/>
        <v>1.3359337367889221</v>
      </c>
      <c r="P202" s="45">
        <f t="shared" si="148"/>
        <v>540.7088800000001</v>
      </c>
      <c r="Q202" s="47">
        <f t="shared" si="149"/>
        <v>8.864080000000003</v>
      </c>
      <c r="R202" s="40">
        <f t="shared" si="150"/>
        <v>567.718181999269</v>
      </c>
      <c r="S202" s="48">
        <f t="shared" si="151"/>
        <v>0.9956709956709956</v>
      </c>
      <c r="T202" s="48">
        <f t="shared" si="152"/>
        <v>0.01278772378516624</v>
      </c>
      <c r="U202" s="48">
        <f t="shared" si="153"/>
        <v>0.6666666666666666</v>
      </c>
      <c r="V202" s="48">
        <f t="shared" si="154"/>
        <v>8.682634730538922</v>
      </c>
      <c r="W202" s="48">
        <f t="shared" si="155"/>
        <v>0</v>
      </c>
      <c r="X202" s="48">
        <f t="shared" si="156"/>
        <v>0</v>
      </c>
      <c r="Y202" s="48">
        <f t="shared" si="157"/>
        <v>1</v>
      </c>
      <c r="Z202" s="48">
        <f t="shared" si="158"/>
        <v>0</v>
      </c>
      <c r="AA202" s="48">
        <f t="shared" si="159"/>
        <v>0</v>
      </c>
      <c r="AB202" s="48">
        <f t="shared" si="160"/>
        <v>0.5</v>
      </c>
      <c r="AC202" s="48">
        <f t="shared" si="161"/>
        <v>8.841814437720187</v>
      </c>
      <c r="AD202" s="48">
        <f t="shared" si="162"/>
        <v>0.022265562279815368</v>
      </c>
      <c r="AE202" s="45">
        <f t="shared" si="163"/>
        <v>10.357760116661751</v>
      </c>
      <c r="AF202" s="45">
        <f t="shared" si="164"/>
        <v>10.364080000000001</v>
      </c>
      <c r="AG202" s="45">
        <f t="shared" si="165"/>
        <v>-0.006319883338250065</v>
      </c>
      <c r="AH202" s="40">
        <f t="shared" si="166"/>
        <v>-0.03049865891576132</v>
      </c>
      <c r="AI202" s="45">
        <f t="shared" si="167"/>
        <v>20.721840116661753</v>
      </c>
      <c r="AJ202" s="49">
        <f t="shared" si="168"/>
        <v>1038.2818232424156</v>
      </c>
      <c r="AK202" s="49"/>
      <c r="AL202" s="50">
        <f t="shared" si="169"/>
        <v>930.802340686361</v>
      </c>
      <c r="AM202" s="42">
        <f t="shared" si="170"/>
        <v>0.47167637972438553</v>
      </c>
      <c r="AN202" s="42">
        <f t="shared" si="171"/>
        <v>107.52631736467544</v>
      </c>
      <c r="AO202" s="42">
        <f t="shared" si="172"/>
        <v>58.20175156196651</v>
      </c>
      <c r="AP202" s="42">
        <f t="shared" si="173"/>
        <v>49.32456580270892</v>
      </c>
      <c r="AQ202" s="42">
        <f t="shared" si="174"/>
        <v>1.9488275449515122</v>
      </c>
      <c r="AR202" s="42">
        <f t="shared" si="175"/>
        <v>1.095948738590371</v>
      </c>
      <c r="AS202" s="42">
        <f t="shared" si="176"/>
        <v>602.8397810483925</v>
      </c>
      <c r="AT202" s="42">
        <f t="shared" si="177"/>
        <v>511.2037459445395</v>
      </c>
    </row>
    <row r="203" spans="1:46" s="39" customFormat="1" ht="12.75">
      <c r="A203" s="51" t="s">
        <v>251</v>
      </c>
      <c r="C203" s="47">
        <v>7.7</v>
      </c>
      <c r="D203" s="45">
        <v>23</v>
      </c>
      <c r="E203" s="45">
        <v>0.5</v>
      </c>
      <c r="F203" s="45">
        <f t="shared" si="144"/>
        <v>8.2</v>
      </c>
      <c r="G203" s="45">
        <f t="shared" si="145"/>
        <v>176</v>
      </c>
      <c r="J203" s="45">
        <v>35.5</v>
      </c>
      <c r="K203" s="45">
        <v>0</v>
      </c>
      <c r="L203" s="45">
        <v>0</v>
      </c>
      <c r="M203" s="45">
        <f t="shared" si="178"/>
        <v>24</v>
      </c>
      <c r="N203" s="45">
        <f t="shared" si="146"/>
        <v>545.9270001351149</v>
      </c>
      <c r="O203" s="45">
        <f t="shared" si="147"/>
        <v>1.3522228179199753</v>
      </c>
      <c r="P203" s="45">
        <f t="shared" si="148"/>
        <v>547.3017600000002</v>
      </c>
      <c r="Q203" s="47">
        <f t="shared" si="149"/>
        <v>8.972160000000002</v>
      </c>
      <c r="R203" s="40">
        <f t="shared" si="150"/>
        <v>574.6403872490503</v>
      </c>
      <c r="S203" s="48">
        <f t="shared" si="151"/>
        <v>0.9956709956709956</v>
      </c>
      <c r="T203" s="48">
        <f t="shared" si="152"/>
        <v>0.01278772378516624</v>
      </c>
      <c r="U203" s="48">
        <f t="shared" si="153"/>
        <v>0.6748971193415637</v>
      </c>
      <c r="V203" s="48">
        <f t="shared" si="154"/>
        <v>8.78243512974052</v>
      </c>
      <c r="W203" s="48">
        <f t="shared" si="155"/>
        <v>0</v>
      </c>
      <c r="X203" s="48">
        <f t="shared" si="156"/>
        <v>0</v>
      </c>
      <c r="Y203" s="48">
        <f t="shared" si="157"/>
        <v>1</v>
      </c>
      <c r="Z203" s="48">
        <f t="shared" si="158"/>
        <v>0</v>
      </c>
      <c r="AA203" s="48">
        <f t="shared" si="159"/>
        <v>0</v>
      </c>
      <c r="AB203" s="48">
        <f t="shared" si="160"/>
        <v>0.5</v>
      </c>
      <c r="AC203" s="48">
        <f t="shared" si="161"/>
        <v>8.94962295303467</v>
      </c>
      <c r="AD203" s="48">
        <f t="shared" si="162"/>
        <v>0.022537046965332923</v>
      </c>
      <c r="AE203" s="45">
        <f t="shared" si="163"/>
        <v>10.465790968538245</v>
      </c>
      <c r="AF203" s="45">
        <f t="shared" si="164"/>
        <v>10.472160000000002</v>
      </c>
      <c r="AG203" s="45">
        <f t="shared" si="165"/>
        <v>-0.0063690314617570465</v>
      </c>
      <c r="AH203" s="40">
        <f t="shared" si="166"/>
        <v>-0.030418599562713998</v>
      </c>
      <c r="AI203" s="45">
        <f t="shared" si="167"/>
        <v>20.937950968538246</v>
      </c>
      <c r="AJ203" s="49">
        <f t="shared" si="168"/>
        <v>1048.644708443817</v>
      </c>
      <c r="AK203" s="49"/>
      <c r="AL203" s="50">
        <f t="shared" si="169"/>
        <v>939.2092038894848</v>
      </c>
      <c r="AM203" s="42">
        <f t="shared" si="170"/>
        <v>0.47162756148267004</v>
      </c>
      <c r="AN203" s="42">
        <f t="shared" si="171"/>
        <v>107.48553523671163</v>
      </c>
      <c r="AO203" s="42">
        <f t="shared" si="172"/>
        <v>58.21011939463698</v>
      </c>
      <c r="AP203" s="42">
        <f t="shared" si="173"/>
        <v>49.275415842074636</v>
      </c>
      <c r="AQ203" s="42">
        <f t="shared" si="174"/>
        <v>1.9493824984948012</v>
      </c>
      <c r="AR203" s="42">
        <f t="shared" si="175"/>
        <v>1.0950525593808078</v>
      </c>
      <c r="AS203" s="42">
        <f t="shared" si="176"/>
        <v>609.2149418379247</v>
      </c>
      <c r="AT203" s="42">
        <f t="shared" si="177"/>
        <v>516.0200387647404</v>
      </c>
    </row>
    <row r="204" spans="1:46" s="39" customFormat="1" ht="12.75">
      <c r="A204" s="51" t="s">
        <v>252</v>
      </c>
      <c r="C204" s="47">
        <v>7.7</v>
      </c>
      <c r="D204" s="45">
        <v>23</v>
      </c>
      <c r="E204" s="45">
        <v>0.5</v>
      </c>
      <c r="F204" s="45">
        <f t="shared" si="144"/>
        <v>8.3</v>
      </c>
      <c r="G204" s="45">
        <f t="shared" si="145"/>
        <v>178</v>
      </c>
      <c r="J204" s="45">
        <v>35.5</v>
      </c>
      <c r="K204" s="45">
        <v>0</v>
      </c>
      <c r="L204" s="45">
        <v>0</v>
      </c>
      <c r="M204" s="45">
        <f t="shared" si="178"/>
        <v>24</v>
      </c>
      <c r="N204" s="45">
        <f t="shared" si="146"/>
        <v>552.5033195692982</v>
      </c>
      <c r="O204" s="45">
        <f t="shared" si="147"/>
        <v>1.3685118990510283</v>
      </c>
      <c r="P204" s="45">
        <f t="shared" si="148"/>
        <v>553.8946400000001</v>
      </c>
      <c r="Q204" s="47">
        <f t="shared" si="149"/>
        <v>9.080240000000002</v>
      </c>
      <c r="R204" s="40">
        <f t="shared" si="150"/>
        <v>581.5625924988313</v>
      </c>
      <c r="S204" s="48">
        <f t="shared" si="151"/>
        <v>0.9956709956709956</v>
      </c>
      <c r="T204" s="48">
        <f t="shared" si="152"/>
        <v>0.01278772378516624</v>
      </c>
      <c r="U204" s="48">
        <f t="shared" si="153"/>
        <v>0.6831275720164609</v>
      </c>
      <c r="V204" s="48">
        <f t="shared" si="154"/>
        <v>8.882235528942116</v>
      </c>
      <c r="W204" s="48">
        <f t="shared" si="155"/>
        <v>0</v>
      </c>
      <c r="X204" s="48">
        <f t="shared" si="156"/>
        <v>0</v>
      </c>
      <c r="Y204" s="48">
        <f t="shared" si="157"/>
        <v>1</v>
      </c>
      <c r="Z204" s="48">
        <f t="shared" si="158"/>
        <v>0</v>
      </c>
      <c r="AA204" s="48">
        <f t="shared" si="159"/>
        <v>0</v>
      </c>
      <c r="AB204" s="48">
        <f t="shared" si="160"/>
        <v>0.5</v>
      </c>
      <c r="AC204" s="48">
        <f t="shared" si="161"/>
        <v>9.05743146834915</v>
      </c>
      <c r="AD204" s="48">
        <f t="shared" si="162"/>
        <v>0.02280853165085047</v>
      </c>
      <c r="AE204" s="45">
        <f t="shared" si="163"/>
        <v>10.57382182041474</v>
      </c>
      <c r="AF204" s="45">
        <f t="shared" si="164"/>
        <v>10.580240000000002</v>
      </c>
      <c r="AG204" s="45">
        <f t="shared" si="165"/>
        <v>-0.006418179585262251</v>
      </c>
      <c r="AH204" s="40">
        <f t="shared" si="166"/>
        <v>-0.03034017598959829</v>
      </c>
      <c r="AI204" s="45">
        <f t="shared" si="167"/>
        <v>21.15406182041474</v>
      </c>
      <c r="AJ204" s="49">
        <f t="shared" si="168"/>
        <v>1059.0075936452188</v>
      </c>
      <c r="AK204" s="49"/>
      <c r="AL204" s="50">
        <f t="shared" si="169"/>
        <v>947.6022749707348</v>
      </c>
      <c r="AM204" s="42">
        <f t="shared" si="170"/>
        <v>0.4715797116656103</v>
      </c>
      <c r="AN204" s="42">
        <f t="shared" si="171"/>
        <v>107.44558628359945</v>
      </c>
      <c r="AO204" s="42">
        <f t="shared" si="172"/>
        <v>58.21831624199917</v>
      </c>
      <c r="AP204" s="42">
        <f t="shared" si="173"/>
        <v>49.22727004160029</v>
      </c>
      <c r="AQ204" s="42">
        <f t="shared" si="174"/>
        <v>1.949925544484876</v>
      </c>
      <c r="AR204" s="42">
        <f t="shared" si="175"/>
        <v>1.094173871285982</v>
      </c>
      <c r="AS204" s="42">
        <f t="shared" si="176"/>
        <v>615.5901026274566</v>
      </c>
      <c r="AT204" s="42">
        <f t="shared" si="177"/>
        <v>520.8363315849411</v>
      </c>
    </row>
    <row r="205" spans="1:46" s="39" customFormat="1" ht="12.75">
      <c r="A205" s="51" t="s">
        <v>253</v>
      </c>
      <c r="C205" s="47">
        <v>7.7</v>
      </c>
      <c r="D205" s="45">
        <v>23</v>
      </c>
      <c r="E205" s="45">
        <v>0.5</v>
      </c>
      <c r="F205" s="45">
        <f t="shared" si="144"/>
        <v>8.4</v>
      </c>
      <c r="G205" s="45">
        <f t="shared" si="145"/>
        <v>180</v>
      </c>
      <c r="J205" s="45">
        <v>35.5</v>
      </c>
      <c r="K205" s="45">
        <v>0</v>
      </c>
      <c r="L205" s="45">
        <v>0</v>
      </c>
      <c r="M205" s="45">
        <f t="shared" si="178"/>
        <v>24</v>
      </c>
      <c r="N205" s="45">
        <f t="shared" si="146"/>
        <v>559.0796390034816</v>
      </c>
      <c r="O205" s="45">
        <f t="shared" si="147"/>
        <v>1.3848009801820815</v>
      </c>
      <c r="P205" s="45">
        <f t="shared" si="148"/>
        <v>560.48752</v>
      </c>
      <c r="Q205" s="47">
        <f t="shared" si="149"/>
        <v>9.188320000000001</v>
      </c>
      <c r="R205" s="40">
        <f t="shared" si="150"/>
        <v>588.4847977486126</v>
      </c>
      <c r="S205" s="48">
        <f t="shared" si="151"/>
        <v>0.9956709956709956</v>
      </c>
      <c r="T205" s="48">
        <f t="shared" si="152"/>
        <v>0.01278772378516624</v>
      </c>
      <c r="U205" s="48">
        <f t="shared" si="153"/>
        <v>0.691358024691358</v>
      </c>
      <c r="V205" s="48">
        <f t="shared" si="154"/>
        <v>8.982035928143713</v>
      </c>
      <c r="W205" s="48">
        <f t="shared" si="155"/>
        <v>0</v>
      </c>
      <c r="X205" s="48">
        <f t="shared" si="156"/>
        <v>0</v>
      </c>
      <c r="Y205" s="48">
        <f t="shared" si="157"/>
        <v>1</v>
      </c>
      <c r="Z205" s="48">
        <f t="shared" si="158"/>
        <v>0</v>
      </c>
      <c r="AA205" s="48">
        <f t="shared" si="159"/>
        <v>0</v>
      </c>
      <c r="AB205" s="48">
        <f t="shared" si="160"/>
        <v>0.5</v>
      </c>
      <c r="AC205" s="48">
        <f t="shared" si="161"/>
        <v>9.165239983663632</v>
      </c>
      <c r="AD205" s="48">
        <f t="shared" si="162"/>
        <v>0.023080016336368026</v>
      </c>
      <c r="AE205" s="45">
        <f t="shared" si="163"/>
        <v>10.681852672291232</v>
      </c>
      <c r="AF205" s="45">
        <f t="shared" si="164"/>
        <v>10.688320000000001</v>
      </c>
      <c r="AG205" s="45">
        <f t="shared" si="165"/>
        <v>-0.006467327708769233</v>
      </c>
      <c r="AH205" s="40">
        <f t="shared" si="166"/>
        <v>-0.030263338569813388</v>
      </c>
      <c r="AI205" s="45">
        <f t="shared" si="167"/>
        <v>21.370172672291233</v>
      </c>
      <c r="AJ205" s="49">
        <f t="shared" si="168"/>
        <v>1069.3704788466202</v>
      </c>
      <c r="AK205" s="49"/>
      <c r="AL205" s="50">
        <f t="shared" si="169"/>
        <v>955.9816205395588</v>
      </c>
      <c r="AM205" s="42">
        <f t="shared" si="170"/>
        <v>0.4715328014246325</v>
      </c>
      <c r="AN205" s="42">
        <f t="shared" si="171"/>
        <v>107.40644523099527</v>
      </c>
      <c r="AO205" s="42">
        <f t="shared" si="172"/>
        <v>58.22634729182972</v>
      </c>
      <c r="AP205" s="42">
        <f t="shared" si="173"/>
        <v>49.18009793916555</v>
      </c>
      <c r="AQ205" s="42">
        <f t="shared" si="174"/>
        <v>1.9504570621015553</v>
      </c>
      <c r="AR205" s="42">
        <f t="shared" si="175"/>
        <v>1.0933121671823638</v>
      </c>
      <c r="AS205" s="42">
        <f t="shared" si="176"/>
        <v>621.9652634169886</v>
      </c>
      <c r="AT205" s="42">
        <f t="shared" si="177"/>
        <v>525.652624405142</v>
      </c>
    </row>
    <row r="206" spans="1:46" s="39" customFormat="1" ht="12.75">
      <c r="A206" s="51" t="s">
        <v>254</v>
      </c>
      <c r="C206" s="47">
        <v>7.7</v>
      </c>
      <c r="D206" s="45">
        <v>23</v>
      </c>
      <c r="E206" s="45">
        <v>0.5</v>
      </c>
      <c r="F206" s="45">
        <f t="shared" si="144"/>
        <v>8.5</v>
      </c>
      <c r="G206" s="45">
        <f t="shared" si="145"/>
        <v>182</v>
      </c>
      <c r="J206" s="45">
        <v>35.5</v>
      </c>
      <c r="K206" s="45">
        <v>0</v>
      </c>
      <c r="L206" s="45">
        <v>0</v>
      </c>
      <c r="M206" s="45">
        <f t="shared" si="178"/>
        <v>24</v>
      </c>
      <c r="N206" s="45">
        <f t="shared" si="146"/>
        <v>565.655958437665</v>
      </c>
      <c r="O206" s="45">
        <f t="shared" si="147"/>
        <v>1.4010900613131347</v>
      </c>
      <c r="P206" s="45">
        <f t="shared" si="148"/>
        <v>567.0804</v>
      </c>
      <c r="Q206" s="47">
        <f t="shared" si="149"/>
        <v>9.2964</v>
      </c>
      <c r="R206" s="40">
        <f t="shared" si="150"/>
        <v>595.4070029983939</v>
      </c>
      <c r="S206" s="48">
        <f t="shared" si="151"/>
        <v>0.9956709956709956</v>
      </c>
      <c r="T206" s="48">
        <f t="shared" si="152"/>
        <v>0.01278772378516624</v>
      </c>
      <c r="U206" s="48">
        <f t="shared" si="153"/>
        <v>0.6995884773662551</v>
      </c>
      <c r="V206" s="48">
        <f t="shared" si="154"/>
        <v>9.081836327345309</v>
      </c>
      <c r="W206" s="48">
        <f t="shared" si="155"/>
        <v>0</v>
      </c>
      <c r="X206" s="48">
        <f t="shared" si="156"/>
        <v>0</v>
      </c>
      <c r="Y206" s="48">
        <f t="shared" si="157"/>
        <v>1</v>
      </c>
      <c r="Z206" s="48">
        <f t="shared" si="158"/>
        <v>0</v>
      </c>
      <c r="AA206" s="48">
        <f t="shared" si="159"/>
        <v>0</v>
      </c>
      <c r="AB206" s="48">
        <f t="shared" si="160"/>
        <v>0.5</v>
      </c>
      <c r="AC206" s="48">
        <f t="shared" si="161"/>
        <v>9.273048498978115</v>
      </c>
      <c r="AD206" s="48">
        <f t="shared" si="162"/>
        <v>0.02335150102188558</v>
      </c>
      <c r="AE206" s="45">
        <f t="shared" si="163"/>
        <v>10.789883524167726</v>
      </c>
      <c r="AF206" s="45">
        <f t="shared" si="164"/>
        <v>10.7964</v>
      </c>
      <c r="AG206" s="45">
        <f t="shared" si="165"/>
        <v>-0.006516475832274438</v>
      </c>
      <c r="AH206" s="40">
        <f t="shared" si="166"/>
        <v>-0.030188039664070354</v>
      </c>
      <c r="AI206" s="45">
        <f t="shared" si="167"/>
        <v>21.586283524167726</v>
      </c>
      <c r="AJ206" s="49">
        <f t="shared" si="168"/>
        <v>1079.7333640480217</v>
      </c>
      <c r="AK206" s="49"/>
      <c r="AL206" s="50">
        <f t="shared" si="169"/>
        <v>964.3473062684583</v>
      </c>
      <c r="AM206" s="42">
        <f t="shared" si="170"/>
        <v>0.4714868030568867</v>
      </c>
      <c r="AN206" s="42">
        <f t="shared" si="171"/>
        <v>107.3680878165843</v>
      </c>
      <c r="AO206" s="42">
        <f t="shared" si="172"/>
        <v>58.23421752414028</v>
      </c>
      <c r="AP206" s="42">
        <f t="shared" si="173"/>
        <v>49.13387029244404</v>
      </c>
      <c r="AQ206" s="42">
        <f t="shared" si="174"/>
        <v>1.9509774145944607</v>
      </c>
      <c r="AR206" s="42">
        <f t="shared" si="175"/>
        <v>1.092466959362958</v>
      </c>
      <c r="AS206" s="42">
        <f t="shared" si="176"/>
        <v>628.3404242065207</v>
      </c>
      <c r="AT206" s="42">
        <f t="shared" si="177"/>
        <v>530.4689172253428</v>
      </c>
    </row>
    <row r="207" spans="1:46" s="39" customFormat="1" ht="12.75">
      <c r="A207" s="51" t="s">
        <v>255</v>
      </c>
      <c r="C207" s="47">
        <v>7.7</v>
      </c>
      <c r="D207" s="45">
        <v>23</v>
      </c>
      <c r="E207" s="45">
        <v>0.5</v>
      </c>
      <c r="F207" s="45">
        <f t="shared" si="144"/>
        <v>8.6</v>
      </c>
      <c r="G207" s="45">
        <f t="shared" si="145"/>
        <v>184</v>
      </c>
      <c r="J207" s="45">
        <v>35.5</v>
      </c>
      <c r="K207" s="45">
        <v>0</v>
      </c>
      <c r="L207" s="45">
        <v>0</v>
      </c>
      <c r="M207" s="45">
        <f t="shared" si="178"/>
        <v>24</v>
      </c>
      <c r="N207" s="45">
        <f t="shared" si="146"/>
        <v>572.2322778718484</v>
      </c>
      <c r="O207" s="45">
        <f t="shared" si="147"/>
        <v>1.4173791424441877</v>
      </c>
      <c r="P207" s="45">
        <f t="shared" si="148"/>
        <v>573.67328</v>
      </c>
      <c r="Q207" s="47">
        <f t="shared" si="149"/>
        <v>9.40448</v>
      </c>
      <c r="R207" s="40">
        <f t="shared" si="150"/>
        <v>602.329208248175</v>
      </c>
      <c r="S207" s="48">
        <f t="shared" si="151"/>
        <v>0.9956709956709956</v>
      </c>
      <c r="T207" s="48">
        <f t="shared" si="152"/>
        <v>0.01278772378516624</v>
      </c>
      <c r="U207" s="48">
        <f t="shared" si="153"/>
        <v>0.7078189300411523</v>
      </c>
      <c r="V207" s="48">
        <f t="shared" si="154"/>
        <v>9.181636726546907</v>
      </c>
      <c r="W207" s="48">
        <f t="shared" si="155"/>
        <v>0</v>
      </c>
      <c r="X207" s="48">
        <f t="shared" si="156"/>
        <v>0</v>
      </c>
      <c r="Y207" s="48">
        <f t="shared" si="157"/>
        <v>1</v>
      </c>
      <c r="Z207" s="48">
        <f t="shared" si="158"/>
        <v>0</v>
      </c>
      <c r="AA207" s="48">
        <f t="shared" si="159"/>
        <v>0</v>
      </c>
      <c r="AB207" s="48">
        <f t="shared" si="160"/>
        <v>0.5</v>
      </c>
      <c r="AC207" s="48">
        <f t="shared" si="161"/>
        <v>9.380857014292596</v>
      </c>
      <c r="AD207" s="48">
        <f t="shared" si="162"/>
        <v>0.023622985707403128</v>
      </c>
      <c r="AE207" s="45">
        <f t="shared" si="163"/>
        <v>10.897914376044222</v>
      </c>
      <c r="AF207" s="45">
        <f t="shared" si="164"/>
        <v>10.90448</v>
      </c>
      <c r="AG207" s="45">
        <f t="shared" si="165"/>
        <v>-0.006565623955777866</v>
      </c>
      <c r="AH207" s="40">
        <f t="shared" si="166"/>
        <v>-0.030114233521947323</v>
      </c>
      <c r="AI207" s="45">
        <f t="shared" si="167"/>
        <v>21.80239437604422</v>
      </c>
      <c r="AJ207" s="49">
        <f t="shared" si="168"/>
        <v>1090.0962492494236</v>
      </c>
      <c r="AK207" s="49"/>
      <c r="AL207" s="50">
        <f t="shared" si="169"/>
        <v>972.6993969141646</v>
      </c>
      <c r="AM207" s="42">
        <f t="shared" si="170"/>
        <v>0.4714416899484477</v>
      </c>
      <c r="AN207" s="42">
        <f t="shared" si="171"/>
        <v>107.33049073992868</v>
      </c>
      <c r="AO207" s="42">
        <f t="shared" si="172"/>
        <v>58.241931721475396</v>
      </c>
      <c r="AP207" s="42">
        <f t="shared" si="173"/>
        <v>49.08855901845329</v>
      </c>
      <c r="AQ207" s="42">
        <f t="shared" si="174"/>
        <v>1.9514869501109051</v>
      </c>
      <c r="AR207" s="42">
        <f t="shared" si="175"/>
        <v>1.091637778616849</v>
      </c>
      <c r="AS207" s="42">
        <f t="shared" si="176"/>
        <v>634.7155849960527</v>
      </c>
      <c r="AT207" s="42">
        <f t="shared" si="177"/>
        <v>535.2852100455435</v>
      </c>
    </row>
    <row r="208" spans="1:46" s="39" customFormat="1" ht="12.75">
      <c r="A208" s="51" t="s">
        <v>256</v>
      </c>
      <c r="C208" s="47">
        <v>7.7</v>
      </c>
      <c r="D208" s="45">
        <v>23</v>
      </c>
      <c r="E208" s="45">
        <v>0.5</v>
      </c>
      <c r="F208" s="45">
        <f t="shared" si="144"/>
        <v>8.7</v>
      </c>
      <c r="G208" s="45">
        <f t="shared" si="145"/>
        <v>186</v>
      </c>
      <c r="J208" s="45">
        <v>35.5</v>
      </c>
      <c r="K208" s="45">
        <v>0</v>
      </c>
      <c r="L208" s="45">
        <v>0</v>
      </c>
      <c r="M208" s="45">
        <f t="shared" si="178"/>
        <v>24</v>
      </c>
      <c r="N208" s="45">
        <f t="shared" si="146"/>
        <v>578.8085973060317</v>
      </c>
      <c r="O208" s="45">
        <f t="shared" si="147"/>
        <v>1.433668223575241</v>
      </c>
      <c r="P208" s="45">
        <f t="shared" si="148"/>
        <v>580.2661599999999</v>
      </c>
      <c r="Q208" s="47">
        <f t="shared" si="149"/>
        <v>9.512559999999999</v>
      </c>
      <c r="R208" s="40">
        <f t="shared" si="150"/>
        <v>609.2514134979563</v>
      </c>
      <c r="S208" s="48">
        <f t="shared" si="151"/>
        <v>0.9956709956709956</v>
      </c>
      <c r="T208" s="48">
        <f t="shared" si="152"/>
        <v>0.01278772378516624</v>
      </c>
      <c r="U208" s="48">
        <f t="shared" si="153"/>
        <v>0.7160493827160493</v>
      </c>
      <c r="V208" s="48">
        <f t="shared" si="154"/>
        <v>9.281437125748504</v>
      </c>
      <c r="W208" s="48">
        <f t="shared" si="155"/>
        <v>0</v>
      </c>
      <c r="X208" s="48">
        <f t="shared" si="156"/>
        <v>0</v>
      </c>
      <c r="Y208" s="48">
        <f t="shared" si="157"/>
        <v>1</v>
      </c>
      <c r="Z208" s="48">
        <f t="shared" si="158"/>
        <v>0</v>
      </c>
      <c r="AA208" s="48">
        <f t="shared" si="159"/>
        <v>0</v>
      </c>
      <c r="AB208" s="48">
        <f t="shared" si="160"/>
        <v>0.5</v>
      </c>
      <c r="AC208" s="48">
        <f t="shared" si="161"/>
        <v>9.488665529607077</v>
      </c>
      <c r="AD208" s="48">
        <f t="shared" si="162"/>
        <v>0.023894470392920683</v>
      </c>
      <c r="AE208" s="45">
        <f t="shared" si="163"/>
        <v>11.005945227920716</v>
      </c>
      <c r="AF208" s="45">
        <f t="shared" si="164"/>
        <v>11.012559999999999</v>
      </c>
      <c r="AG208" s="45">
        <f t="shared" si="165"/>
        <v>-0.006614772079283071</v>
      </c>
      <c r="AH208" s="40">
        <f t="shared" si="166"/>
        <v>-0.03004187618919365</v>
      </c>
      <c r="AI208" s="45">
        <f t="shared" si="167"/>
        <v>22.018505227920713</v>
      </c>
      <c r="AJ208" s="49">
        <f t="shared" si="168"/>
        <v>1100.459134450825</v>
      </c>
      <c r="AK208" s="49"/>
      <c r="AL208" s="50">
        <f t="shared" si="169"/>
        <v>981.0379563381829</v>
      </c>
      <c r="AM208" s="42">
        <f t="shared" si="170"/>
        <v>0.47139743652088734</v>
      </c>
      <c r="AN208" s="42">
        <f t="shared" si="171"/>
        <v>107.29363161526825</v>
      </c>
      <c r="AO208" s="42">
        <f t="shared" si="172"/>
        <v>58.24949447860391</v>
      </c>
      <c r="AP208" s="42">
        <f t="shared" si="173"/>
        <v>49.044137136664354</v>
      </c>
      <c r="AQ208" s="42">
        <f t="shared" si="174"/>
        <v>1.9519860024726743</v>
      </c>
      <c r="AR208" s="42">
        <f t="shared" si="175"/>
        <v>1.0908241733606179</v>
      </c>
      <c r="AS208" s="42">
        <f t="shared" si="176"/>
        <v>641.0907457855848</v>
      </c>
      <c r="AT208" s="42">
        <f t="shared" si="177"/>
        <v>540.1015028657444</v>
      </c>
    </row>
    <row r="209" spans="1:46" s="39" customFormat="1" ht="12.75">
      <c r="A209" s="51" t="s">
        <v>257</v>
      </c>
      <c r="C209" s="47">
        <v>7.7</v>
      </c>
      <c r="D209" s="45">
        <v>23</v>
      </c>
      <c r="E209" s="45">
        <v>0.5</v>
      </c>
      <c r="F209" s="45">
        <f t="shared" si="144"/>
        <v>8.8</v>
      </c>
      <c r="G209" s="45">
        <f t="shared" si="145"/>
        <v>188</v>
      </c>
      <c r="J209" s="45">
        <v>35.5</v>
      </c>
      <c r="K209" s="45">
        <v>0</v>
      </c>
      <c r="L209" s="45">
        <v>0</v>
      </c>
      <c r="M209" s="45">
        <f t="shared" si="178"/>
        <v>24</v>
      </c>
      <c r="N209" s="45">
        <f t="shared" si="146"/>
        <v>585.3849167402152</v>
      </c>
      <c r="O209" s="45">
        <f t="shared" si="147"/>
        <v>1.4499573047062941</v>
      </c>
      <c r="P209" s="45">
        <f t="shared" si="148"/>
        <v>586.8590399999999</v>
      </c>
      <c r="Q209" s="47">
        <f t="shared" si="149"/>
        <v>9.620639999999998</v>
      </c>
      <c r="R209" s="40">
        <f t="shared" si="150"/>
        <v>616.1736187477376</v>
      </c>
      <c r="S209" s="48">
        <f t="shared" si="151"/>
        <v>0.9956709956709956</v>
      </c>
      <c r="T209" s="48">
        <f t="shared" si="152"/>
        <v>0.01278772378516624</v>
      </c>
      <c r="U209" s="48">
        <f t="shared" si="153"/>
        <v>0.7242798353909465</v>
      </c>
      <c r="V209" s="48">
        <f t="shared" si="154"/>
        <v>9.3812375249501</v>
      </c>
      <c r="W209" s="48">
        <f t="shared" si="155"/>
        <v>0</v>
      </c>
      <c r="X209" s="48">
        <f t="shared" si="156"/>
        <v>0</v>
      </c>
      <c r="Y209" s="48">
        <f t="shared" si="157"/>
        <v>1</v>
      </c>
      <c r="Z209" s="48">
        <f t="shared" si="158"/>
        <v>0</v>
      </c>
      <c r="AA209" s="48">
        <f t="shared" si="159"/>
        <v>0</v>
      </c>
      <c r="AB209" s="48">
        <f t="shared" si="160"/>
        <v>0.5</v>
      </c>
      <c r="AC209" s="48">
        <f t="shared" si="161"/>
        <v>9.59647404492156</v>
      </c>
      <c r="AD209" s="48">
        <f t="shared" si="162"/>
        <v>0.024165955078438234</v>
      </c>
      <c r="AE209" s="45">
        <f t="shared" si="163"/>
        <v>11.113976079797208</v>
      </c>
      <c r="AF209" s="45">
        <f t="shared" si="164"/>
        <v>11.120639999999998</v>
      </c>
      <c r="AG209" s="45">
        <f t="shared" si="165"/>
        <v>-0.006663920202790052</v>
      </c>
      <c r="AH209" s="40">
        <f t="shared" si="166"/>
        <v>-0.02997092542040794</v>
      </c>
      <c r="AI209" s="45">
        <f t="shared" si="167"/>
        <v>22.234616079797206</v>
      </c>
      <c r="AJ209" s="49">
        <f t="shared" si="168"/>
        <v>1110.8220196522268</v>
      </c>
      <c r="AK209" s="49"/>
      <c r="AL209" s="50">
        <f t="shared" si="169"/>
        <v>989.3630475267149</v>
      </c>
      <c r="AM209" s="42">
        <f t="shared" si="170"/>
        <v>0.47135401818098316</v>
      </c>
      <c r="AN209" s="42">
        <f t="shared" si="171"/>
        <v>107.25748892707378</v>
      </c>
      <c r="AO209" s="42">
        <f t="shared" si="172"/>
        <v>58.25691021164506</v>
      </c>
      <c r="AP209" s="42">
        <f t="shared" si="173"/>
        <v>49.00057871542872</v>
      </c>
      <c r="AQ209" s="42">
        <f t="shared" si="174"/>
        <v>1.9524748919053558</v>
      </c>
      <c r="AR209" s="42">
        <f t="shared" si="175"/>
        <v>1.0900257088182466</v>
      </c>
      <c r="AS209" s="42">
        <f t="shared" si="176"/>
        <v>647.4659065751168</v>
      </c>
      <c r="AT209" s="42">
        <f t="shared" si="177"/>
        <v>544.9177956859452</v>
      </c>
    </row>
    <row r="210" spans="1:46" s="39" customFormat="1" ht="12.75">
      <c r="A210" s="51" t="s">
        <v>258</v>
      </c>
      <c r="C210" s="47">
        <v>7.7</v>
      </c>
      <c r="D210" s="45">
        <v>23</v>
      </c>
      <c r="E210" s="45">
        <v>0.5</v>
      </c>
      <c r="F210" s="45">
        <f t="shared" si="144"/>
        <v>8.9</v>
      </c>
      <c r="G210" s="45">
        <f t="shared" si="145"/>
        <v>190</v>
      </c>
      <c r="J210" s="45">
        <v>35.5</v>
      </c>
      <c r="K210" s="45">
        <v>0</v>
      </c>
      <c r="L210" s="45">
        <v>0</v>
      </c>
      <c r="M210" s="45">
        <f t="shared" si="178"/>
        <v>24</v>
      </c>
      <c r="N210" s="45">
        <f t="shared" si="146"/>
        <v>591.9612361743986</v>
      </c>
      <c r="O210" s="45">
        <f t="shared" si="147"/>
        <v>1.4662463858373471</v>
      </c>
      <c r="P210" s="45">
        <f t="shared" si="148"/>
        <v>593.4519199999999</v>
      </c>
      <c r="Q210" s="47">
        <f t="shared" si="149"/>
        <v>9.728719999999997</v>
      </c>
      <c r="R210" s="40">
        <f t="shared" si="150"/>
        <v>623.0958239975187</v>
      </c>
      <c r="S210" s="48">
        <f t="shared" si="151"/>
        <v>0.9956709956709956</v>
      </c>
      <c r="T210" s="48">
        <f t="shared" si="152"/>
        <v>0.01278772378516624</v>
      </c>
      <c r="U210" s="48">
        <f t="shared" si="153"/>
        <v>0.7325102880658436</v>
      </c>
      <c r="V210" s="48">
        <f t="shared" si="154"/>
        <v>9.481037924151696</v>
      </c>
      <c r="W210" s="48">
        <f t="shared" si="155"/>
        <v>0</v>
      </c>
      <c r="X210" s="48">
        <f t="shared" si="156"/>
        <v>0</v>
      </c>
      <c r="Y210" s="48">
        <f t="shared" si="157"/>
        <v>1</v>
      </c>
      <c r="Z210" s="48">
        <f t="shared" si="158"/>
        <v>0</v>
      </c>
      <c r="AA210" s="48">
        <f t="shared" si="159"/>
        <v>0</v>
      </c>
      <c r="AB210" s="48">
        <f t="shared" si="160"/>
        <v>0.5</v>
      </c>
      <c r="AC210" s="48">
        <f t="shared" si="161"/>
        <v>9.704282560236042</v>
      </c>
      <c r="AD210" s="48">
        <f t="shared" si="162"/>
        <v>0.024437439763955786</v>
      </c>
      <c r="AE210" s="45">
        <f t="shared" si="163"/>
        <v>11.222006931673702</v>
      </c>
      <c r="AF210" s="45">
        <f t="shared" si="164"/>
        <v>11.228719999999997</v>
      </c>
      <c r="AG210" s="45">
        <f t="shared" si="165"/>
        <v>-0.006713068326295257</v>
      </c>
      <c r="AH210" s="40">
        <f t="shared" si="166"/>
        <v>-0.029901340596791087</v>
      </c>
      <c r="AI210" s="45">
        <f t="shared" si="167"/>
        <v>22.4507269316737</v>
      </c>
      <c r="AJ210" s="49">
        <f t="shared" si="168"/>
        <v>1121.1849048536283</v>
      </c>
      <c r="AK210" s="49"/>
      <c r="AL210" s="50">
        <f t="shared" si="169"/>
        <v>997.6747326099905</v>
      </c>
      <c r="AM210" s="42">
        <f t="shared" si="170"/>
        <v>0.47131141127335063</v>
      </c>
      <c r="AN210" s="42">
        <f t="shared" si="171"/>
        <v>107.22204198816682</v>
      </c>
      <c r="AO210" s="42">
        <f t="shared" si="172"/>
        <v>58.264183166667486</v>
      </c>
      <c r="AP210" s="42">
        <f t="shared" si="173"/>
        <v>48.957858821499336</v>
      </c>
      <c r="AQ210" s="42">
        <f t="shared" si="174"/>
        <v>1.952953925723563</v>
      </c>
      <c r="AR210" s="42">
        <f t="shared" si="175"/>
        <v>1.089241966246389</v>
      </c>
      <c r="AS210" s="42">
        <f t="shared" si="176"/>
        <v>653.8410673646488</v>
      </c>
      <c r="AT210" s="42">
        <f t="shared" si="177"/>
        <v>549.7340885061459</v>
      </c>
    </row>
    <row r="211" spans="1:46" s="39" customFormat="1" ht="12.75">
      <c r="A211" s="51" t="s">
        <v>259</v>
      </c>
      <c r="C211" s="47">
        <v>7.7</v>
      </c>
      <c r="D211" s="45">
        <v>23</v>
      </c>
      <c r="E211" s="45">
        <v>0.5</v>
      </c>
      <c r="F211" s="45">
        <f t="shared" si="144"/>
        <v>9</v>
      </c>
      <c r="G211" s="45">
        <f t="shared" si="145"/>
        <v>192</v>
      </c>
      <c r="J211" s="45">
        <v>35.5</v>
      </c>
      <c r="K211" s="45">
        <v>0</v>
      </c>
      <c r="L211" s="45">
        <v>0</v>
      </c>
      <c r="M211" s="45">
        <f t="shared" si="178"/>
        <v>24</v>
      </c>
      <c r="N211" s="45">
        <f t="shared" si="146"/>
        <v>598.5375556085819</v>
      </c>
      <c r="O211" s="45">
        <f t="shared" si="147"/>
        <v>1.4825354669684008</v>
      </c>
      <c r="P211" s="45">
        <f t="shared" si="148"/>
        <v>600.0447999999998</v>
      </c>
      <c r="Q211" s="47">
        <f t="shared" si="149"/>
        <v>9.836799999999997</v>
      </c>
      <c r="R211" s="40">
        <f t="shared" si="150"/>
        <v>630.0180292472999</v>
      </c>
      <c r="S211" s="48">
        <f t="shared" si="151"/>
        <v>0.9956709956709956</v>
      </c>
      <c r="T211" s="48">
        <f t="shared" si="152"/>
        <v>0.01278772378516624</v>
      </c>
      <c r="U211" s="48">
        <f t="shared" si="153"/>
        <v>0.7407407407407407</v>
      </c>
      <c r="V211" s="48">
        <f t="shared" si="154"/>
        <v>9.580838323353294</v>
      </c>
      <c r="W211" s="48">
        <f t="shared" si="155"/>
        <v>0</v>
      </c>
      <c r="X211" s="48">
        <f t="shared" si="156"/>
        <v>0</v>
      </c>
      <c r="Y211" s="48">
        <f t="shared" si="157"/>
        <v>1</v>
      </c>
      <c r="Z211" s="48">
        <f t="shared" si="158"/>
        <v>0</v>
      </c>
      <c r="AA211" s="48">
        <f t="shared" si="159"/>
        <v>0</v>
      </c>
      <c r="AB211" s="48">
        <f t="shared" si="160"/>
        <v>0.5</v>
      </c>
      <c r="AC211" s="48">
        <f t="shared" si="161"/>
        <v>9.812091075550523</v>
      </c>
      <c r="AD211" s="48">
        <f t="shared" si="162"/>
        <v>0.024708924449473348</v>
      </c>
      <c r="AE211" s="45">
        <f t="shared" si="163"/>
        <v>11.330037783550196</v>
      </c>
      <c r="AF211" s="45">
        <f t="shared" si="164"/>
        <v>11.336799999999997</v>
      </c>
      <c r="AG211" s="45">
        <f t="shared" si="165"/>
        <v>-0.006762216449800462</v>
      </c>
      <c r="AH211" s="40">
        <f t="shared" si="166"/>
        <v>-0.029833082648643417</v>
      </c>
      <c r="AI211" s="45">
        <f t="shared" si="167"/>
        <v>22.666837783550193</v>
      </c>
      <c r="AJ211" s="49">
        <f t="shared" si="168"/>
        <v>1131.54779005503</v>
      </c>
      <c r="AK211" s="49"/>
      <c r="AL211" s="50">
        <f t="shared" si="169"/>
        <v>1005.9730728810291</v>
      </c>
      <c r="AM211" s="42">
        <f t="shared" si="170"/>
        <v>0.47126959303580057</v>
      </c>
      <c r="AN211" s="42">
        <f t="shared" si="171"/>
        <v>107.18727090023549</v>
      </c>
      <c r="AO211" s="42">
        <f t="shared" si="172"/>
        <v>58.27131742779646</v>
      </c>
      <c r="AP211" s="42">
        <f t="shared" si="173"/>
        <v>48.915953472439035</v>
      </c>
      <c r="AQ211" s="42">
        <f t="shared" si="174"/>
        <v>1.9534233989751264</v>
      </c>
      <c r="AR211" s="42">
        <f t="shared" si="175"/>
        <v>1.0884725422021004</v>
      </c>
      <c r="AS211" s="42">
        <f t="shared" si="176"/>
        <v>660.216228154181</v>
      </c>
      <c r="AT211" s="42">
        <f t="shared" si="177"/>
        <v>554.5503813263467</v>
      </c>
    </row>
    <row r="212" spans="1:38" ht="12.75">
      <c r="A212" s="10"/>
      <c r="C212" s="3"/>
      <c r="D212" s="1"/>
      <c r="E212" s="1"/>
      <c r="F212" s="1"/>
      <c r="G212" s="1"/>
      <c r="J212" s="1"/>
      <c r="K212" s="1"/>
      <c r="L212" s="1"/>
      <c r="M212" s="1"/>
      <c r="N212" s="1"/>
      <c r="O212" s="1"/>
      <c r="P212" s="1"/>
      <c r="Q212" s="3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1"/>
      <c r="AF212" s="1"/>
      <c r="AG212" s="1"/>
      <c r="AH212" s="5"/>
      <c r="AI212" s="1"/>
      <c r="AJ212" s="7"/>
      <c r="AK212" s="7"/>
      <c r="AL212" s="2"/>
    </row>
    <row r="213" spans="1:38" ht="12.75">
      <c r="A213" s="10"/>
      <c r="C213" s="3"/>
      <c r="D213" s="1"/>
      <c r="E213" s="1"/>
      <c r="F213" s="1"/>
      <c r="G213" s="1"/>
      <c r="J213" s="1"/>
      <c r="K213" s="1"/>
      <c r="L213" s="1"/>
      <c r="M213" s="1"/>
      <c r="N213" s="1"/>
      <c r="O213" s="1"/>
      <c r="P213" s="1"/>
      <c r="Q213" s="3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1"/>
      <c r="AF213" s="1"/>
      <c r="AG213" s="1"/>
      <c r="AH213" s="5"/>
      <c r="AI213" s="1"/>
      <c r="AJ213" s="7"/>
      <c r="AK213" s="7"/>
      <c r="AL213" s="2"/>
    </row>
    <row r="214" spans="1:38" ht="12.75">
      <c r="A214" s="10"/>
      <c r="C214" s="3"/>
      <c r="D214" s="1"/>
      <c r="E214" s="1"/>
      <c r="F214" s="1"/>
      <c r="G214" s="1"/>
      <c r="J214" s="1"/>
      <c r="K214" s="1"/>
      <c r="L214" s="1"/>
      <c r="M214" s="1"/>
      <c r="N214" s="1"/>
      <c r="O214" s="1"/>
      <c r="P214" s="1"/>
      <c r="Q214" s="3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1"/>
      <c r="AF214" s="1"/>
      <c r="AG214" s="1"/>
      <c r="AH214" s="5"/>
      <c r="AI214" s="1"/>
      <c r="AJ214" s="7"/>
      <c r="AK214" s="7"/>
      <c r="AL214" s="2"/>
    </row>
    <row r="215" spans="1:38" ht="12.75">
      <c r="A215" s="10"/>
      <c r="C215" s="3"/>
      <c r="D215" s="1"/>
      <c r="E215" s="1"/>
      <c r="F215" s="1"/>
      <c r="G215" s="1"/>
      <c r="J215" s="1"/>
      <c r="K215" s="1"/>
      <c r="L215" s="1"/>
      <c r="M215" s="1"/>
      <c r="N215" s="1"/>
      <c r="O215" s="1"/>
      <c r="P215" s="1"/>
      <c r="Q215" s="3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1"/>
      <c r="AF215" s="1"/>
      <c r="AG215" s="1"/>
      <c r="AH215" s="5"/>
      <c r="AI215" s="1"/>
      <c r="AJ215" s="7"/>
      <c r="AK215" s="7"/>
      <c r="AL215" s="2"/>
    </row>
    <row r="216" spans="1:38" ht="12.75">
      <c r="A216" s="10"/>
      <c r="C216" s="3"/>
      <c r="D216" s="1"/>
      <c r="E216" s="1"/>
      <c r="F216" s="1"/>
      <c r="G216" s="1"/>
      <c r="J216" s="1"/>
      <c r="K216" s="1"/>
      <c r="L216" s="1"/>
      <c r="M216" s="1"/>
      <c r="N216" s="1"/>
      <c r="O216" s="1"/>
      <c r="P216" s="1"/>
      <c r="Q216" s="3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1"/>
      <c r="AF216" s="1"/>
      <c r="AG216" s="1"/>
      <c r="AH216" s="5"/>
      <c r="AI216" s="1"/>
      <c r="AJ216" s="7"/>
      <c r="AK216" s="7"/>
      <c r="AL216" s="2"/>
    </row>
    <row r="217" spans="1:38" ht="12.75">
      <c r="A217" s="10"/>
      <c r="C217" s="3"/>
      <c r="D217" s="1"/>
      <c r="E217" s="1"/>
      <c r="F217" s="1"/>
      <c r="G217" s="1"/>
      <c r="J217" s="1"/>
      <c r="K217" s="1"/>
      <c r="L217" s="1"/>
      <c r="M217" s="1"/>
      <c r="N217" s="1"/>
      <c r="O217" s="1"/>
      <c r="P217" s="1"/>
      <c r="Q217" s="3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1"/>
      <c r="AF217" s="1"/>
      <c r="AG217" s="1"/>
      <c r="AH217" s="5"/>
      <c r="AI217" s="1"/>
      <c r="AJ217" s="7"/>
      <c r="AK217" s="7"/>
      <c r="AL217" s="2"/>
    </row>
    <row r="218" spans="1:38" ht="12.75">
      <c r="A218" s="10"/>
      <c r="C218" s="3"/>
      <c r="D218" s="1"/>
      <c r="E218" s="1"/>
      <c r="F218" s="1"/>
      <c r="G218" s="1"/>
      <c r="J218" s="1"/>
      <c r="K218" s="1"/>
      <c r="L218" s="1"/>
      <c r="M218" s="1"/>
      <c r="N218" s="1"/>
      <c r="O218" s="1"/>
      <c r="P218" s="1"/>
      <c r="Q218" s="3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1"/>
      <c r="AF218" s="1"/>
      <c r="AG218" s="1"/>
      <c r="AH218" s="5"/>
      <c r="AI218" s="1"/>
      <c r="AJ218" s="7"/>
      <c r="AK218" s="7"/>
      <c r="AL218" s="2"/>
    </row>
    <row r="219" spans="1:38" ht="12.75">
      <c r="A219" s="10"/>
      <c r="C219" s="3"/>
      <c r="D219" s="1"/>
      <c r="E219" s="1"/>
      <c r="F219" s="1"/>
      <c r="G219" s="1"/>
      <c r="J219" s="1"/>
      <c r="K219" s="1"/>
      <c r="L219" s="1"/>
      <c r="M219" s="1"/>
      <c r="N219" s="1"/>
      <c r="O219" s="1"/>
      <c r="P219" s="1"/>
      <c r="Q219" s="3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1"/>
      <c r="AF219" s="1"/>
      <c r="AG219" s="1"/>
      <c r="AH219" s="5"/>
      <c r="AI219" s="1"/>
      <c r="AJ219" s="7"/>
      <c r="AK219" s="7"/>
      <c r="AL219" s="2"/>
    </row>
    <row r="220" spans="1:38" ht="12.75">
      <c r="A220" s="10"/>
      <c r="C220" s="3"/>
      <c r="D220" s="1"/>
      <c r="E220" s="1"/>
      <c r="F220" s="1"/>
      <c r="G220" s="1"/>
      <c r="J220" s="1"/>
      <c r="K220" s="1"/>
      <c r="L220" s="1"/>
      <c r="M220" s="1"/>
      <c r="N220" s="1"/>
      <c r="O220" s="1"/>
      <c r="P220" s="1"/>
      <c r="Q220" s="3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1"/>
      <c r="AF220" s="1"/>
      <c r="AG220" s="1"/>
      <c r="AH220" s="5"/>
      <c r="AI220" s="1"/>
      <c r="AJ220" s="7"/>
      <c r="AK220" s="7"/>
      <c r="AL220" s="2"/>
    </row>
    <row r="221" spans="1:38" ht="12.75">
      <c r="A221" s="10"/>
      <c r="C221" s="3"/>
      <c r="D221" s="1"/>
      <c r="E221" s="1"/>
      <c r="F221" s="1"/>
      <c r="G221" s="1"/>
      <c r="J221" s="1"/>
      <c r="K221" s="1"/>
      <c r="L221" s="1"/>
      <c r="M221" s="1"/>
      <c r="N221" s="1"/>
      <c r="O221" s="1"/>
      <c r="P221" s="1"/>
      <c r="Q221" s="3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1"/>
      <c r="AF221" s="1"/>
      <c r="AG221" s="1"/>
      <c r="AH221" s="5"/>
      <c r="AI221" s="1"/>
      <c r="AJ221" s="7"/>
      <c r="AK221" s="7"/>
      <c r="AL221" s="2"/>
    </row>
    <row r="222" spans="1:38" ht="12.75">
      <c r="A222" s="10"/>
      <c r="C222" s="3"/>
      <c r="D222" s="1"/>
      <c r="E222" s="1"/>
      <c r="F222" s="1"/>
      <c r="G222" s="1"/>
      <c r="J222" s="1"/>
      <c r="K222" s="1"/>
      <c r="L222" s="1"/>
      <c r="M222" s="1"/>
      <c r="N222" s="1"/>
      <c r="O222" s="1"/>
      <c r="P222" s="1"/>
      <c r="Q222" s="3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1"/>
      <c r="AF222" s="1"/>
      <c r="AG222" s="1"/>
      <c r="AH222" s="5"/>
      <c r="AI222" s="1"/>
      <c r="AJ222" s="7"/>
      <c r="AK222" s="7"/>
      <c r="AL222" s="2"/>
    </row>
    <row r="223" spans="1:38" ht="12.75">
      <c r="A223" s="10"/>
      <c r="C223" s="3"/>
      <c r="D223" s="1"/>
      <c r="E223" s="1"/>
      <c r="F223" s="1"/>
      <c r="G223" s="1"/>
      <c r="J223" s="1"/>
      <c r="K223" s="1"/>
      <c r="L223" s="1"/>
      <c r="M223" s="1"/>
      <c r="N223" s="1"/>
      <c r="O223" s="1"/>
      <c r="P223" s="1"/>
      <c r="Q223" s="3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1"/>
      <c r="AF223" s="1"/>
      <c r="AG223" s="1"/>
      <c r="AH223" s="5"/>
      <c r="AI223" s="1"/>
      <c r="AJ223" s="7"/>
      <c r="AK223" s="7"/>
      <c r="AL223" s="2"/>
    </row>
    <row r="224" spans="1:38" ht="12.75">
      <c r="A224" s="10"/>
      <c r="C224" s="3"/>
      <c r="D224" s="1"/>
      <c r="E224" s="1"/>
      <c r="F224" s="1"/>
      <c r="G224" s="1"/>
      <c r="J224" s="1"/>
      <c r="K224" s="1"/>
      <c r="L224" s="1"/>
      <c r="M224" s="1"/>
      <c r="N224" s="1"/>
      <c r="O224" s="1"/>
      <c r="P224" s="1"/>
      <c r="Q224" s="3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1"/>
      <c r="AF224" s="1"/>
      <c r="AG224" s="1"/>
      <c r="AH224" s="5"/>
      <c r="AI224" s="1"/>
      <c r="AJ224" s="7"/>
      <c r="AK224" s="7"/>
      <c r="AL224" s="2"/>
    </row>
    <row r="225" spans="1:38" ht="12.75">
      <c r="A225" s="10"/>
      <c r="C225" s="3"/>
      <c r="D225" s="1"/>
      <c r="E225" s="1"/>
      <c r="F225" s="1"/>
      <c r="G225" s="1"/>
      <c r="J225" s="1"/>
      <c r="K225" s="1"/>
      <c r="L225" s="1"/>
      <c r="M225" s="1"/>
      <c r="N225" s="1"/>
      <c r="O225" s="1"/>
      <c r="P225" s="1"/>
      <c r="Q225" s="3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1"/>
      <c r="AF225" s="1"/>
      <c r="AG225" s="1"/>
      <c r="AH225" s="5"/>
      <c r="AI225" s="1"/>
      <c r="AJ225" s="7"/>
      <c r="AK225" s="7"/>
      <c r="AL225" s="2"/>
    </row>
    <row r="226" spans="1:38" ht="12.75">
      <c r="A226" s="10"/>
      <c r="C226" s="3"/>
      <c r="D226" s="1"/>
      <c r="E226" s="1"/>
      <c r="F226" s="1"/>
      <c r="G226" s="1"/>
      <c r="J226" s="1"/>
      <c r="K226" s="1"/>
      <c r="L226" s="1"/>
      <c r="M226" s="1"/>
      <c r="N226" s="1"/>
      <c r="O226" s="1"/>
      <c r="P226" s="1"/>
      <c r="Q226" s="3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1"/>
      <c r="AF226" s="1"/>
      <c r="AG226" s="1"/>
      <c r="AH226" s="5"/>
      <c r="AI226" s="1"/>
      <c r="AJ226" s="7"/>
      <c r="AK226" s="7"/>
      <c r="AL226" s="2"/>
    </row>
    <row r="227" spans="1:38" ht="12.75">
      <c r="A227" s="10"/>
      <c r="C227" s="3"/>
      <c r="D227" s="1"/>
      <c r="E227" s="1"/>
      <c r="F227" s="1"/>
      <c r="G227" s="1"/>
      <c r="J227" s="1"/>
      <c r="K227" s="1"/>
      <c r="L227" s="1"/>
      <c r="M227" s="1"/>
      <c r="N227" s="1"/>
      <c r="O227" s="1"/>
      <c r="P227" s="1"/>
      <c r="Q227" s="3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1"/>
      <c r="AF227" s="1"/>
      <c r="AG227" s="1"/>
      <c r="AH227" s="5"/>
      <c r="AI227" s="1"/>
      <c r="AJ227" s="7"/>
      <c r="AK227" s="7"/>
      <c r="AL227" s="2"/>
    </row>
    <row r="228" spans="1:38" ht="12.75">
      <c r="A228" s="10"/>
      <c r="C228" s="3"/>
      <c r="D228" s="1"/>
      <c r="E228" s="1"/>
      <c r="F228" s="1"/>
      <c r="G228" s="1"/>
      <c r="J228" s="1"/>
      <c r="K228" s="1"/>
      <c r="L228" s="1"/>
      <c r="M228" s="1"/>
      <c r="N228" s="1"/>
      <c r="O228" s="1"/>
      <c r="P228" s="1"/>
      <c r="Q228" s="3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1"/>
      <c r="AF228" s="1"/>
      <c r="AG228" s="1"/>
      <c r="AH228" s="5"/>
      <c r="AI228" s="1"/>
      <c r="AJ228" s="7"/>
      <c r="AK228" s="7"/>
      <c r="AL228" s="2"/>
    </row>
    <row r="229" spans="1:38" ht="12.75">
      <c r="A229" s="10"/>
      <c r="C229" s="3"/>
      <c r="D229" s="1"/>
      <c r="E229" s="1"/>
      <c r="F229" s="1"/>
      <c r="G229" s="1"/>
      <c r="J229" s="1"/>
      <c r="K229" s="1"/>
      <c r="L229" s="1"/>
      <c r="M229" s="1"/>
      <c r="N229" s="1"/>
      <c r="O229" s="1"/>
      <c r="P229" s="1"/>
      <c r="Q229" s="3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1"/>
      <c r="AF229" s="1"/>
      <c r="AG229" s="1"/>
      <c r="AH229" s="5"/>
      <c r="AI229" s="1"/>
      <c r="AJ229" s="7"/>
      <c r="AK229" s="7"/>
      <c r="AL229" s="2"/>
    </row>
    <row r="230" spans="1:38" ht="12.75">
      <c r="A230" s="10"/>
      <c r="C230" s="3"/>
      <c r="D230" s="1"/>
      <c r="E230" s="1"/>
      <c r="F230" s="1"/>
      <c r="G230" s="1"/>
      <c r="J230" s="1"/>
      <c r="K230" s="1"/>
      <c r="L230" s="1"/>
      <c r="M230" s="1"/>
      <c r="N230" s="1"/>
      <c r="O230" s="1"/>
      <c r="P230" s="1"/>
      <c r="Q230" s="3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1"/>
      <c r="AF230" s="1"/>
      <c r="AG230" s="1"/>
      <c r="AH230" s="5"/>
      <c r="AI230" s="1"/>
      <c r="AJ230" s="7"/>
      <c r="AK230" s="7"/>
      <c r="AL230" s="2"/>
    </row>
    <row r="231" spans="1:38" ht="12.75">
      <c r="A231" s="10"/>
      <c r="C231" s="3"/>
      <c r="D231" s="1"/>
      <c r="E231" s="1"/>
      <c r="F231" s="1"/>
      <c r="G231" s="1"/>
      <c r="J231" s="1"/>
      <c r="K231" s="1"/>
      <c r="L231" s="1"/>
      <c r="M231" s="1"/>
      <c r="N231" s="1"/>
      <c r="O231" s="1"/>
      <c r="P231" s="1"/>
      <c r="Q231" s="3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1"/>
      <c r="AF231" s="1"/>
      <c r="AG231" s="1"/>
      <c r="AH231" s="5"/>
      <c r="AI231" s="1"/>
      <c r="AJ231" s="7"/>
      <c r="AK231" s="7"/>
      <c r="AL231" s="2"/>
    </row>
    <row r="232" spans="1:38" ht="12.75">
      <c r="A232" s="10"/>
      <c r="C232" s="3"/>
      <c r="D232" s="1"/>
      <c r="E232" s="1"/>
      <c r="F232" s="1"/>
      <c r="G232" s="1"/>
      <c r="J232" s="1"/>
      <c r="K232" s="1"/>
      <c r="L232" s="1"/>
      <c r="M232" s="1"/>
      <c r="N232" s="1"/>
      <c r="O232" s="1"/>
      <c r="P232" s="1"/>
      <c r="Q232" s="3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1"/>
      <c r="AF232" s="1"/>
      <c r="AG232" s="1"/>
      <c r="AH232" s="5"/>
      <c r="AI232" s="1"/>
      <c r="AJ232" s="7"/>
      <c r="AK232" s="7"/>
      <c r="AL232" s="2"/>
    </row>
    <row r="233" spans="1:38" ht="12.75">
      <c r="A233" s="10"/>
      <c r="C233" s="3"/>
      <c r="D233" s="1"/>
      <c r="E233" s="1"/>
      <c r="F233" s="1"/>
      <c r="G233" s="1"/>
      <c r="J233" s="1"/>
      <c r="K233" s="1"/>
      <c r="L233" s="1"/>
      <c r="M233" s="1"/>
      <c r="N233" s="1"/>
      <c r="O233" s="1"/>
      <c r="P233" s="1"/>
      <c r="Q233" s="3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1"/>
      <c r="AF233" s="1"/>
      <c r="AG233" s="1"/>
      <c r="AH233" s="5"/>
      <c r="AI233" s="1"/>
      <c r="AJ233" s="7"/>
      <c r="AK233" s="7"/>
      <c r="AL233" s="2"/>
    </row>
  </sheetData>
  <sheetProtection/>
  <printOptions/>
  <pageMargins left="0.35433070866141736" right="0.35433070866141736" top="0.5905511811023623" bottom="0.5905511811023623" header="0.5118110236220472" footer="0.5118110236220472"/>
  <pageSetup fitToWidth="2" fitToHeight="1" horizontalDpi="300" verticalDpi="300" orientation="portrait" paperSize="9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Fairchild</dc:creator>
  <cp:keywords/>
  <dc:description/>
  <cp:lastModifiedBy>fairchij</cp:lastModifiedBy>
  <cp:lastPrinted>2005-08-27T16:56:43Z</cp:lastPrinted>
  <dcterms:created xsi:type="dcterms:W3CDTF">2000-02-26T18:40:42Z</dcterms:created>
  <dcterms:modified xsi:type="dcterms:W3CDTF">2011-06-26T08:32:11Z</dcterms:modified>
  <cp:category/>
  <cp:version/>
  <cp:contentType/>
  <cp:contentStatus/>
</cp:coreProperties>
</file>